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60" yWindow="135" windowWidth="8415" windowHeight="5475" tabRatio="945" firstSheet="2" activeTab="4"/>
  </bookViews>
  <sheets>
    <sheet name="PLS" sheetId="57" state="hidden" r:id="rId1"/>
    <sheet name="P&amp;L (2)" sheetId="33" state="hidden" r:id="rId2"/>
    <sheet name="Title IPF " sheetId="3" r:id="rId3"/>
    <sheet name="BS" sheetId="4" r:id="rId4"/>
    <sheet name="P&amp;L" sheetId="5" r:id="rId5"/>
    <sheet name="Qtr - PnL" sheetId="6" state="hidden" r:id="rId6"/>
    <sheet name="Other Comp Income" sheetId="7" r:id="rId7"/>
    <sheet name="Qtr Other Comp Income" sheetId="8" state="hidden" r:id="rId8"/>
    <sheet name="Qtr Distribution" sheetId="10" state="hidden" r:id="rId9"/>
    <sheet name="UHF" sheetId="11" r:id="rId10"/>
    <sheet name="Qtr - UHF" sheetId="12" state="hidden" r:id="rId11"/>
    <sheet name="cash flow" sheetId="13" r:id="rId12"/>
    <sheet name="Qtr -cashflow" sheetId="14" state="hidden" r:id="rId13"/>
    <sheet name="RP Q working" sheetId="15" state="hidden" r:id="rId14"/>
    <sheet name="cash flow working" sheetId="27" state="hidden" r:id="rId15"/>
    <sheet name="1" sheetId="16" r:id="rId16"/>
    <sheet name="P" sheetId="80" r:id="rId17"/>
    <sheet name="2" sheetId="17" r:id="rId18"/>
    <sheet name="3" sheetId="4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A" localSheetId="15">'[1]last qrt2001'!#REF!</definedName>
    <definedName name="\A" localSheetId="18">'[1]last qrt2001'!#REF!</definedName>
    <definedName name="\A" localSheetId="1">'[1]last qrt2001'!#REF!</definedName>
    <definedName name="\A" localSheetId="0">'[1]last qrt2001'!#REF!</definedName>
    <definedName name="\a" localSheetId="13">#REF!</definedName>
    <definedName name="\A">'[1]last qrt2001'!#REF!</definedName>
    <definedName name="\B" localSheetId="15">'[1]last qrt2001'!#REF!</definedName>
    <definedName name="\B" localSheetId="18">'[1]last qrt2001'!#REF!</definedName>
    <definedName name="\B" localSheetId="1">'[1]last qrt2001'!#REF!</definedName>
    <definedName name="\B" localSheetId="0">'[1]last qrt2001'!#REF!</definedName>
    <definedName name="\b" localSheetId="13">#REF!</definedName>
    <definedName name="\B">'[1]last qrt2001'!#REF!</definedName>
    <definedName name="\c" localSheetId="15">#REF!</definedName>
    <definedName name="\c" localSheetId="18">#REF!</definedName>
    <definedName name="\c" localSheetId="1">#REF!</definedName>
    <definedName name="\c" localSheetId="0">#REF!</definedName>
    <definedName name="\c">#REF!</definedName>
    <definedName name="\d" localSheetId="15">#REF!</definedName>
    <definedName name="\d" localSheetId="18">#REF!</definedName>
    <definedName name="\d" localSheetId="1">#REF!</definedName>
    <definedName name="\d" localSheetId="0">#REF!</definedName>
    <definedName name="\d">#REF!</definedName>
    <definedName name="\e" localSheetId="15">#REF!</definedName>
    <definedName name="\e" localSheetId="18">#REF!</definedName>
    <definedName name="\e" localSheetId="1">#REF!</definedName>
    <definedName name="\e" localSheetId="0">#REF!</definedName>
    <definedName name="\e">#REF!</definedName>
    <definedName name="\i" localSheetId="15">#REF!</definedName>
    <definedName name="\i" localSheetId="18">#REF!</definedName>
    <definedName name="\i" localSheetId="1">#REF!</definedName>
    <definedName name="\i" localSheetId="0">#REF!</definedName>
    <definedName name="\i">#REF!</definedName>
    <definedName name="\l" localSheetId="18">#REF!</definedName>
    <definedName name="\l" localSheetId="1">#REF!</definedName>
    <definedName name="\l" localSheetId="0">#REF!</definedName>
    <definedName name="\l">#REF!</definedName>
    <definedName name="\m" localSheetId="15">#REF!</definedName>
    <definedName name="\m" localSheetId="18">#REF!</definedName>
    <definedName name="\m" localSheetId="1">#REF!</definedName>
    <definedName name="\m" localSheetId="0">#REF!</definedName>
    <definedName name="\m">#REF!</definedName>
    <definedName name="\n" localSheetId="18">#REF!</definedName>
    <definedName name="\n" localSheetId="1">#REF!</definedName>
    <definedName name="\n" localSheetId="0">#REF!</definedName>
    <definedName name="\n">#REF!</definedName>
    <definedName name="\o" localSheetId="15">#REF!</definedName>
    <definedName name="\o" localSheetId="18">#REF!</definedName>
    <definedName name="\o" localSheetId="1">#REF!</definedName>
    <definedName name="\o" localSheetId="0">#REF!</definedName>
    <definedName name="\o">#REF!</definedName>
    <definedName name="\q" localSheetId="15">#REF!</definedName>
    <definedName name="\q" localSheetId="18">#REF!</definedName>
    <definedName name="\q" localSheetId="1">#REF!</definedName>
    <definedName name="\q" localSheetId="0">#REF!</definedName>
    <definedName name="\q">#REF!</definedName>
    <definedName name="\R" localSheetId="15">'[1]last qrt2001'!#REF!</definedName>
    <definedName name="\R" localSheetId="18">'[1]last qrt2001'!#REF!</definedName>
    <definedName name="\R" localSheetId="1">'[1]last qrt2001'!#REF!</definedName>
    <definedName name="\R" localSheetId="0">'[1]last qrt2001'!#REF!</definedName>
    <definedName name="\R" localSheetId="13">'[1]last qrt2001'!#REF!</definedName>
    <definedName name="\R">'[1]last qrt2001'!#REF!</definedName>
    <definedName name="\S" localSheetId="15">'[1]last qrt2001'!#REF!</definedName>
    <definedName name="\S" localSheetId="18">'[1]last qrt2001'!#REF!</definedName>
    <definedName name="\S" localSheetId="1">'[1]last qrt2001'!#REF!</definedName>
    <definedName name="\S" localSheetId="0">'[1]last qrt2001'!#REF!</definedName>
    <definedName name="\s" localSheetId="13">#REF!</definedName>
    <definedName name="\S">'[1]last qrt2001'!#REF!</definedName>
    <definedName name="\T" localSheetId="15">'[2]Notes1-5(old)'!#REF!</definedName>
    <definedName name="\T" localSheetId="18">'[2]Notes1-5(old)'!#REF!</definedName>
    <definedName name="\T" localSheetId="1">'[2]Notes1-5(old)'!#REF!</definedName>
    <definedName name="\T" localSheetId="0">'[2]Notes1-5(old)'!#REF!</definedName>
    <definedName name="\T">'[2]Notes1-5(old)'!#REF!</definedName>
    <definedName name="\z" localSheetId="15">#REF!</definedName>
    <definedName name="\z" localSheetId="18">#REF!</definedName>
    <definedName name="\z" localSheetId="1">#REF!</definedName>
    <definedName name="\z" localSheetId="0">#REF!</definedName>
    <definedName name="\z">#REF!</definedName>
    <definedName name="____ASH1">[3]Sheet4!$B$524:$E$625</definedName>
    <definedName name="____ASH2">[3]Sheet4!$P$422:$Q$523</definedName>
    <definedName name="____ASS1" localSheetId="18">#REF!</definedName>
    <definedName name="____ASS1" localSheetId="1">#REF!</definedName>
    <definedName name="____ASS1" localSheetId="0">#REF!</definedName>
    <definedName name="____ASS1">#REF!</definedName>
    <definedName name="____ASS2" localSheetId="18">#REF!</definedName>
    <definedName name="____ASS2" localSheetId="1">#REF!</definedName>
    <definedName name="____ASS2" localSheetId="0">#REF!</definedName>
    <definedName name="____ASS2">#REF!</definedName>
    <definedName name="____EPZ1">[3]Sheet4!$F$428:$F$519</definedName>
    <definedName name="____EPZ2">[3]Sheet4!$S$326:$S$417</definedName>
    <definedName name="____LIA1" localSheetId="18">#REF!</definedName>
    <definedName name="____LIA1" localSheetId="1">#REF!</definedName>
    <definedName name="____LIA1" localSheetId="0">#REF!</definedName>
    <definedName name="____LIA1">#REF!</definedName>
    <definedName name="____LIA2" localSheetId="18">#REF!</definedName>
    <definedName name="____LIA2" localSheetId="1">#REF!</definedName>
    <definedName name="____LIA2" localSheetId="0">#REF!</definedName>
    <definedName name="____LIA2">#REF!</definedName>
    <definedName name="____PL1" localSheetId="18">#REF!</definedName>
    <definedName name="____PL1" localSheetId="1">#REF!</definedName>
    <definedName name="____PL1" localSheetId="0">#REF!</definedName>
    <definedName name="____PL1">#REF!</definedName>
    <definedName name="____PL2" localSheetId="18">#REF!</definedName>
    <definedName name="____PL2" localSheetId="1">#REF!</definedName>
    <definedName name="____PL2" localSheetId="0">#REF!</definedName>
    <definedName name="____PL2">#REF!</definedName>
    <definedName name="____PP2" localSheetId="18">#REF!</definedName>
    <definedName name="____PP2" localSheetId="1">#REF!</definedName>
    <definedName name="____PP2" localSheetId="0">#REF!</definedName>
    <definedName name="____PP2">#REF!</definedName>
    <definedName name="____PP3" localSheetId="18">#REF!</definedName>
    <definedName name="____PP3" localSheetId="1">#REF!</definedName>
    <definedName name="____PP3" localSheetId="0">#REF!</definedName>
    <definedName name="____PP3">#REF!</definedName>
    <definedName name="____REC1999">'[4]RC-0997'!$B$132:$Q$171</definedName>
    <definedName name="____UAE1">[3]Sheet4!$D$116:$D$207</definedName>
    <definedName name="____UAE2">[3]Sheet4!$Q$14:$Q$105</definedName>
    <definedName name="____UK1">[3]Sheet4!$F$324:$F$415</definedName>
    <definedName name="____UK2">[3]Sheet4!$S$222:$S$313</definedName>
    <definedName name="____USA1">[3]Sheet4!$D$428:$D$519</definedName>
    <definedName name="____USA2">[3]Sheet4!$Q$326:$Q$417</definedName>
    <definedName name="___ASH1">[3]Sheet4!$B$524:$E$625</definedName>
    <definedName name="___ASH2">[3]Sheet4!$P$422:$Q$523</definedName>
    <definedName name="___ASS1" localSheetId="18">#REF!</definedName>
    <definedName name="___ASS1" localSheetId="1">#REF!</definedName>
    <definedName name="___ASS1" localSheetId="0">#REF!</definedName>
    <definedName name="___ASS1" localSheetId="13">#REF!</definedName>
    <definedName name="___ASS1">#REF!</definedName>
    <definedName name="___ASS2" localSheetId="15">#REF!</definedName>
    <definedName name="___ASS2" localSheetId="18">#REF!</definedName>
    <definedName name="___ASS2" localSheetId="1">#REF!</definedName>
    <definedName name="___ASS2" localSheetId="0">#REF!</definedName>
    <definedName name="___ASS2">#REF!</definedName>
    <definedName name="___crt1">'[5]I-B'!$A$1:$A$65536</definedName>
    <definedName name="___crt2">'[5]I-BR'!$A$1:$A$65536</definedName>
    <definedName name="___EPZ1">[3]Sheet4!$F$428:$F$519</definedName>
    <definedName name="___EPZ2">[3]Sheet4!$S$326:$S$417</definedName>
    <definedName name="___FMT1">'[5]I-B'!$D$1:$D$65536</definedName>
    <definedName name="___FMT2">'[5]I-BR'!$D$1:$D$65536</definedName>
    <definedName name="___hub0207" localSheetId="18">[6]AL905!#REF!</definedName>
    <definedName name="___hub0207" localSheetId="1">[6]AL905!#REF!</definedName>
    <definedName name="___hub0207" localSheetId="0">[6]AL905!#REF!</definedName>
    <definedName name="___hub0207">[6]AL905!#REF!</definedName>
    <definedName name="___LIA1" localSheetId="18">#REF!</definedName>
    <definedName name="___LIA1" localSheetId="1">#REF!</definedName>
    <definedName name="___LIA1" localSheetId="0">#REF!</definedName>
    <definedName name="___LIA1" localSheetId="13">#REF!</definedName>
    <definedName name="___LIA1">#REF!</definedName>
    <definedName name="___LIA2" localSheetId="18">#REF!</definedName>
    <definedName name="___LIA2" localSheetId="1">#REF!</definedName>
    <definedName name="___LIA2" localSheetId="0">#REF!</definedName>
    <definedName name="___LIA2">#REF!</definedName>
    <definedName name="___LMT1">'[5]I-B'!$F$1:$F$65536</definedName>
    <definedName name="___LMT2">'[5]I-BR'!$F$1:$F$65536</definedName>
    <definedName name="___PL1" localSheetId="18">#REF!</definedName>
    <definedName name="___PL1" localSheetId="1">#REF!</definedName>
    <definedName name="___PL1" localSheetId="0">#REF!</definedName>
    <definedName name="___PL1">#REF!</definedName>
    <definedName name="___PL2" localSheetId="18">#REF!</definedName>
    <definedName name="___PL2" localSheetId="1">#REF!</definedName>
    <definedName name="___PL2" localSheetId="0">#REF!</definedName>
    <definedName name="___PL2">#REF!</definedName>
    <definedName name="___PP2" localSheetId="18">#REF!</definedName>
    <definedName name="___PP2" localSheetId="1">#REF!</definedName>
    <definedName name="___PP2" localSheetId="0">#REF!</definedName>
    <definedName name="___PP2">#REF!</definedName>
    <definedName name="___PP3" localSheetId="18">#REF!</definedName>
    <definedName name="___PP3" localSheetId="1">#REF!</definedName>
    <definedName name="___PP3" localSheetId="0">#REF!</definedName>
    <definedName name="___PP3">#REF!</definedName>
    <definedName name="___REC1999">'[4]RC-0997'!$B$132:$Q$171</definedName>
    <definedName name="___UAE1">[3]Sheet4!$D$116:$D$207</definedName>
    <definedName name="___UAE2">[3]Sheet4!$Q$14:$Q$105</definedName>
    <definedName name="___UK1">[3]Sheet4!$F$324:$F$415</definedName>
    <definedName name="___UK2">[3]Sheet4!$S$222:$S$313</definedName>
    <definedName name="___USA1">[3]Sheet4!$D$428:$D$519</definedName>
    <definedName name="___USA2">[3]Sheet4!$Q$326:$Q$417</definedName>
    <definedName name="__123Graph_A" localSheetId="15" hidden="1">'[7]29-30'!#REF!</definedName>
    <definedName name="__123Graph_A" localSheetId="18" hidden="1">'[7]29-30'!#REF!</definedName>
    <definedName name="__123Graph_A" localSheetId="1" hidden="1">'[7]29-30'!#REF!</definedName>
    <definedName name="__123Graph_A" localSheetId="0" hidden="1">'[7]29-30'!#REF!</definedName>
    <definedName name="__123Graph_A" localSheetId="13" hidden="1">'[7]29-30'!#REF!</definedName>
    <definedName name="__123Graph_A" hidden="1">'[7]29-30'!#REF!</definedName>
    <definedName name="__123Graph_B" localSheetId="15" hidden="1">'[7]29-30'!#REF!</definedName>
    <definedName name="__123Graph_B" localSheetId="18" hidden="1">'[7]29-30'!#REF!</definedName>
    <definedName name="__123Graph_B" localSheetId="1" hidden="1">'[7]29-30'!#REF!</definedName>
    <definedName name="__123Graph_B" localSheetId="0" hidden="1">'[7]29-30'!#REF!</definedName>
    <definedName name="__123Graph_B" hidden="1">'[7]29-30'!#REF!</definedName>
    <definedName name="__123Graph_X" localSheetId="15" hidden="1">'[7]29-30'!#REF!</definedName>
    <definedName name="__123Graph_X" localSheetId="18" hidden="1">'[7]29-30'!#REF!</definedName>
    <definedName name="__123Graph_X" localSheetId="1" hidden="1">'[7]29-30'!#REF!</definedName>
    <definedName name="__123Graph_X" localSheetId="0" hidden="1">'[7]29-30'!#REF!</definedName>
    <definedName name="__123Graph_X" hidden="1">'[7]29-30'!#REF!</definedName>
    <definedName name="__ASH1">[3]Sheet4!$B$524:$E$625</definedName>
    <definedName name="__ASH2">[3]Sheet4!$P$422:$Q$523</definedName>
    <definedName name="__ASS1" localSheetId="15">#REF!</definedName>
    <definedName name="__ASS1" localSheetId="18">#REF!</definedName>
    <definedName name="__ASS1" localSheetId="1">#REF!</definedName>
    <definedName name="__ASS1" localSheetId="0">#REF!</definedName>
    <definedName name="__ASS1" localSheetId="13">#REF!</definedName>
    <definedName name="__ASS1">#REF!</definedName>
    <definedName name="__ASS2" localSheetId="15">#REF!</definedName>
    <definedName name="__ASS2" localSheetId="18">#REF!</definedName>
    <definedName name="__ASS2" localSheetId="1">#REF!</definedName>
    <definedName name="__ASS2" localSheetId="0">#REF!</definedName>
    <definedName name="__ASS2">#REF!</definedName>
    <definedName name="__BSC1" localSheetId="18">#REF!</definedName>
    <definedName name="__BSC1" localSheetId="1">#REF!</definedName>
    <definedName name="__BSC1" localSheetId="0">#REF!</definedName>
    <definedName name="__BSC1">#REF!</definedName>
    <definedName name="__BSD1" localSheetId="18">#REF!</definedName>
    <definedName name="__BSD1" localSheetId="1">#REF!</definedName>
    <definedName name="__BSD1" localSheetId="0">#REF!</definedName>
    <definedName name="__BSD1">#REF!</definedName>
    <definedName name="__BSH1" localSheetId="18">#REF!</definedName>
    <definedName name="__BSH1" localSheetId="1">#REF!</definedName>
    <definedName name="__BSH1" localSheetId="0">#REF!</definedName>
    <definedName name="__BSH1">#REF!</definedName>
    <definedName name="__BSP1" localSheetId="18">#REF!</definedName>
    <definedName name="__BSP1" localSheetId="1">#REF!</definedName>
    <definedName name="__BSP1" localSheetId="0">#REF!</definedName>
    <definedName name="__BSP1">#REF!</definedName>
    <definedName name="__BSS1" localSheetId="18">#REF!</definedName>
    <definedName name="__BSS1" localSheetId="1">#REF!</definedName>
    <definedName name="__BSS1" localSheetId="0">#REF!</definedName>
    <definedName name="__BSS1">#REF!</definedName>
    <definedName name="__BST1" localSheetId="18">#REF!</definedName>
    <definedName name="__BST1" localSheetId="1">#REF!</definedName>
    <definedName name="__BST1" localSheetId="0">#REF!</definedName>
    <definedName name="__BST1">#REF!</definedName>
    <definedName name="__Col1" localSheetId="18">#REF!</definedName>
    <definedName name="__Col1" localSheetId="1">#REF!</definedName>
    <definedName name="__Col1" localSheetId="0">#REF!</definedName>
    <definedName name="__Col1">#REF!</definedName>
    <definedName name="__crt1">'[5]I-B'!$A$1:$A$65536</definedName>
    <definedName name="__crt2">'[5]I-BR'!$A$1:$A$65536</definedName>
    <definedName name="__EPZ1">[3]Sheet4!$F$428:$F$519</definedName>
    <definedName name="__EPZ2">[3]Sheet4!$S$326:$S$417</definedName>
    <definedName name="__FMT1">'[5]I-B'!$D$1:$D$65536</definedName>
    <definedName name="__FMT2">'[5]I-BR'!$D$1:$D$65536</definedName>
    <definedName name="__hub0207" localSheetId="15">[6]AL905!#REF!</definedName>
    <definedName name="__hub0207" localSheetId="18">[6]AL905!#REF!</definedName>
    <definedName name="__hub0207" localSheetId="1">[6]AL905!#REF!</definedName>
    <definedName name="__hub0207" localSheetId="0">[6]AL905!#REF!</definedName>
    <definedName name="__hub0207" localSheetId="13">[6]AL905!#REF!</definedName>
    <definedName name="__hub0207">[6]AL905!#REF!</definedName>
    <definedName name="__IEC1" localSheetId="18">#REF!</definedName>
    <definedName name="__IEC1" localSheetId="1">#REF!</definedName>
    <definedName name="__IEC1" localSheetId="0">#REF!</definedName>
    <definedName name="__IEC1">#REF!</definedName>
    <definedName name="__IED1" localSheetId="18">#REF!</definedName>
    <definedName name="__IED1" localSheetId="1">#REF!</definedName>
    <definedName name="__IED1" localSheetId="0">#REF!</definedName>
    <definedName name="__IED1">#REF!</definedName>
    <definedName name="__IEH1" localSheetId="18">#REF!</definedName>
    <definedName name="__IEH1" localSheetId="1">#REF!</definedName>
    <definedName name="__IEH1" localSheetId="0">#REF!</definedName>
    <definedName name="__IEH1">#REF!</definedName>
    <definedName name="__IEP1" localSheetId="18">#REF!</definedName>
    <definedName name="__IEP1" localSheetId="1">#REF!</definedName>
    <definedName name="__IEP1" localSheetId="0">#REF!</definedName>
    <definedName name="__IEP1">#REF!</definedName>
    <definedName name="__IES1" localSheetId="18">#REF!</definedName>
    <definedName name="__IES1" localSheetId="1">#REF!</definedName>
    <definedName name="__IES1" localSheetId="0">#REF!</definedName>
    <definedName name="__IES1">#REF!</definedName>
    <definedName name="__IET1" localSheetId="18">#REF!</definedName>
    <definedName name="__IET1" localSheetId="1">#REF!</definedName>
    <definedName name="__IET1" localSheetId="0">#REF!</definedName>
    <definedName name="__IET1">#REF!</definedName>
    <definedName name="__LIA1" localSheetId="15">#REF!</definedName>
    <definedName name="__LIA1" localSheetId="18">#REF!</definedName>
    <definedName name="__LIA1" localSheetId="1">#REF!</definedName>
    <definedName name="__LIA1" localSheetId="0">#REF!</definedName>
    <definedName name="__LIA1" localSheetId="13">#REF!</definedName>
    <definedName name="__LIA1">#REF!</definedName>
    <definedName name="__LIA2" localSheetId="15">#REF!</definedName>
    <definedName name="__LIA2" localSheetId="18">#REF!</definedName>
    <definedName name="__LIA2" localSheetId="1">#REF!</definedName>
    <definedName name="__LIA2" localSheetId="0">#REF!</definedName>
    <definedName name="__LIA2">#REF!</definedName>
    <definedName name="__LMT1">'[5]I-B'!$F$1:$F$65536</definedName>
    <definedName name="__LMT2">'[5]I-BR'!$F$1:$F$65536</definedName>
    <definedName name="__PL1" localSheetId="15">#REF!</definedName>
    <definedName name="__PL1" localSheetId="18">#REF!</definedName>
    <definedName name="__PL1" localSheetId="1">#REF!</definedName>
    <definedName name="__PL1" localSheetId="0">#REF!</definedName>
    <definedName name="__PL1" localSheetId="13">#REF!</definedName>
    <definedName name="__PL1">#REF!</definedName>
    <definedName name="__PL2" localSheetId="15">#REF!</definedName>
    <definedName name="__PL2" localSheetId="18">#REF!</definedName>
    <definedName name="__PL2" localSheetId="1">#REF!</definedName>
    <definedName name="__PL2" localSheetId="0">#REF!</definedName>
    <definedName name="__PL2">#REF!</definedName>
    <definedName name="__pL3" localSheetId="18">#REF!</definedName>
    <definedName name="__pL3" localSheetId="1">#REF!</definedName>
    <definedName name="__pL3" localSheetId="0">#REF!</definedName>
    <definedName name="__pL3">#REF!</definedName>
    <definedName name="__PP2" localSheetId="15">#REF!</definedName>
    <definedName name="__PP2" localSheetId="18">#REF!</definedName>
    <definedName name="__PP2" localSheetId="1">#REF!</definedName>
    <definedName name="__PP2" localSheetId="0">#REF!</definedName>
    <definedName name="__PP2">#REF!</definedName>
    <definedName name="__PP3" localSheetId="15">#REF!</definedName>
    <definedName name="__PP3" localSheetId="18">#REF!</definedName>
    <definedName name="__PP3" localSheetId="1">#REF!</definedName>
    <definedName name="__PP3" localSheetId="0">#REF!</definedName>
    <definedName name="__PP3">#REF!</definedName>
    <definedName name="__REC1999">'[4]RC-0997'!$B$132:$Q$171</definedName>
    <definedName name="__TMO1" localSheetId="18">'[8]BS-OVS'!#REF!</definedName>
    <definedName name="__TMO1" localSheetId="1">'[8]BS-OVS'!#REF!</definedName>
    <definedName name="__TMO1" localSheetId="0">'[8]BS-OVS'!#REF!</definedName>
    <definedName name="__TMO1">'[8]BS-OVS'!#REF!</definedName>
    <definedName name="__UAE1">[3]Sheet4!$D$116:$D$207</definedName>
    <definedName name="__UAE2">[3]Sheet4!$Q$14:$Q$105</definedName>
    <definedName name="__UK1">[3]Sheet4!$F$324:$F$415</definedName>
    <definedName name="__UK2">[3]Sheet4!$S$222:$S$313</definedName>
    <definedName name="__USA1">[3]Sheet4!$D$428:$D$519</definedName>
    <definedName name="__USA2">[3]Sheet4!$Q$326:$Q$417</definedName>
    <definedName name="_1" localSheetId="18">#REF!</definedName>
    <definedName name="_1" localSheetId="1">#REF!</definedName>
    <definedName name="_1" localSheetId="0">#REF!</definedName>
    <definedName name="_1" localSheetId="13">#REF!</definedName>
    <definedName name="_1">#REF!</definedName>
    <definedName name="_1.1" localSheetId="18">#REF!</definedName>
    <definedName name="_1.1" localSheetId="1">#REF!</definedName>
    <definedName name="_1.1" localSheetId="0">#REF!</definedName>
    <definedName name="_1.1">#REF!</definedName>
    <definedName name="_1.2" localSheetId="15">[9]Sheet3!#REF!</definedName>
    <definedName name="_1.2" localSheetId="18">[9]Sheet3!#REF!</definedName>
    <definedName name="_1.2" localSheetId="1">[9]Sheet3!#REF!</definedName>
    <definedName name="_1.2" localSheetId="0">[9]Sheet3!#REF!</definedName>
    <definedName name="_1.2" localSheetId="13">[9]Sheet3!#REF!</definedName>
    <definedName name="_1.2">[9]Sheet3!#REF!</definedName>
    <definedName name="_1_" localSheetId="18">#REF!</definedName>
    <definedName name="_1_" localSheetId="1">#REF!</definedName>
    <definedName name="_1_" localSheetId="0">#REF!</definedName>
    <definedName name="_1_">#REF!</definedName>
    <definedName name="_10" localSheetId="18">#REF!</definedName>
    <definedName name="_10" localSheetId="1">#REF!</definedName>
    <definedName name="_10" localSheetId="0">#REF!</definedName>
    <definedName name="_10" localSheetId="13">#REF!</definedName>
    <definedName name="_10">#REF!</definedName>
    <definedName name="_11" localSheetId="18">#REF!</definedName>
    <definedName name="_11" localSheetId="1">#REF!</definedName>
    <definedName name="_11" localSheetId="0">#REF!</definedName>
    <definedName name="_11">#REF!</definedName>
    <definedName name="_12" localSheetId="15">#REF!</definedName>
    <definedName name="_12" localSheetId="18">#REF!</definedName>
    <definedName name="_12" localSheetId="1">#REF!</definedName>
    <definedName name="_12" localSheetId="0">#REF!</definedName>
    <definedName name="_12">#REF!</definedName>
    <definedName name="_13" localSheetId="18">#REF!</definedName>
    <definedName name="_13" localSheetId="1">#REF!</definedName>
    <definedName name="_13" localSheetId="0">#REF!</definedName>
    <definedName name="_13">#REF!</definedName>
    <definedName name="_14" localSheetId="15">#REF!</definedName>
    <definedName name="_14" localSheetId="18">#REF!</definedName>
    <definedName name="_14" localSheetId="1">#REF!</definedName>
    <definedName name="_14" localSheetId="0">#REF!</definedName>
    <definedName name="_14">#REF!</definedName>
    <definedName name="_15" localSheetId="18">#REF!</definedName>
    <definedName name="_15" localSheetId="1">#REF!</definedName>
    <definedName name="_15" localSheetId="0">#REF!</definedName>
    <definedName name="_15">#REF!</definedName>
    <definedName name="_16" localSheetId="18">#REF!</definedName>
    <definedName name="_16" localSheetId="1">#REF!</definedName>
    <definedName name="_16" localSheetId="0">#REF!</definedName>
    <definedName name="_16">#REF!</definedName>
    <definedName name="_17" localSheetId="18">#REF!</definedName>
    <definedName name="_17" localSheetId="1">#REF!</definedName>
    <definedName name="_17" localSheetId="0">#REF!</definedName>
    <definedName name="_17">#REF!</definedName>
    <definedName name="_18" localSheetId="18">#REF!</definedName>
    <definedName name="_18" localSheetId="1">#REF!</definedName>
    <definedName name="_18" localSheetId="0">#REF!</definedName>
    <definedName name="_18">#REF!</definedName>
    <definedName name="_19" localSheetId="15">#REF!</definedName>
    <definedName name="_19" localSheetId="18">#REF!</definedName>
    <definedName name="_19" localSheetId="1">#REF!</definedName>
    <definedName name="_19" localSheetId="0">#REF!</definedName>
    <definedName name="_19">#REF!</definedName>
    <definedName name="_2" localSheetId="18">#REF!</definedName>
    <definedName name="_2" localSheetId="1">#REF!</definedName>
    <definedName name="_2" localSheetId="0">#REF!</definedName>
    <definedName name="_2">#REF!</definedName>
    <definedName name="_2.1" localSheetId="18">#REF!</definedName>
    <definedName name="_2.1" localSheetId="1">#REF!</definedName>
    <definedName name="_2.1" localSheetId="0">#REF!</definedName>
    <definedName name="_2.1">#REF!</definedName>
    <definedName name="_2.2" localSheetId="15">[9]Sheet3!#REF!</definedName>
    <definedName name="_2.2" localSheetId="18">[9]Sheet3!#REF!</definedName>
    <definedName name="_2.2" localSheetId="1">[9]Sheet3!#REF!</definedName>
    <definedName name="_2.2" localSheetId="0">[9]Sheet3!#REF!</definedName>
    <definedName name="_2.2" localSheetId="13">[9]Sheet3!#REF!</definedName>
    <definedName name="_2.2">[9]Sheet3!#REF!</definedName>
    <definedName name="_20" localSheetId="18">#REF!</definedName>
    <definedName name="_20" localSheetId="1">#REF!</definedName>
    <definedName name="_20" localSheetId="0">#REF!</definedName>
    <definedName name="_20" localSheetId="13">#REF!</definedName>
    <definedName name="_20">#REF!</definedName>
    <definedName name="_21" localSheetId="18">#REF!</definedName>
    <definedName name="_21" localSheetId="1">#REF!</definedName>
    <definedName name="_21" localSheetId="0">#REF!</definedName>
    <definedName name="_21">#REF!</definedName>
    <definedName name="_24_06_2004" localSheetId="15">#REF!</definedName>
    <definedName name="_24_06_2004" localSheetId="18">#REF!</definedName>
    <definedName name="_24_06_2004" localSheetId="1">#REF!</definedName>
    <definedName name="_24_06_2004" localSheetId="0">#REF!</definedName>
    <definedName name="_24_06_2004">#REF!</definedName>
    <definedName name="_29_07_2004" localSheetId="15">#REF!</definedName>
    <definedName name="_29_07_2004" localSheetId="18">#REF!</definedName>
    <definedName name="_29_07_2004" localSheetId="1">#REF!</definedName>
    <definedName name="_29_07_2004" localSheetId="0">#REF!</definedName>
    <definedName name="_29_07_2004">#REF!</definedName>
    <definedName name="_3" localSheetId="15">#REF!</definedName>
    <definedName name="_3" localSheetId="18">#REF!</definedName>
    <definedName name="_3" localSheetId="1">#REF!</definedName>
    <definedName name="_3" localSheetId="0">#REF!</definedName>
    <definedName name="_3">#REF!</definedName>
    <definedName name="_3.1">[3]Sheet4!$A$110</definedName>
    <definedName name="_3.2">[3]Sheet4!$O$8</definedName>
    <definedName name="_3.3" localSheetId="15">[9]Sheet2!#REF!</definedName>
    <definedName name="_3.3" localSheetId="18">[9]Sheet2!#REF!</definedName>
    <definedName name="_3.3" localSheetId="1">[9]Sheet2!#REF!</definedName>
    <definedName name="_3.3" localSheetId="0">[9]Sheet2!#REF!</definedName>
    <definedName name="_3.3" localSheetId="13">[9]Sheet2!#REF!</definedName>
    <definedName name="_3.3">[9]Sheet2!#REF!</definedName>
    <definedName name="_4" localSheetId="15">#REF!</definedName>
    <definedName name="_4" localSheetId="18">#REF!</definedName>
    <definedName name="_4" localSheetId="1">#REF!</definedName>
    <definedName name="_4" localSheetId="0">#REF!</definedName>
    <definedName name="_4">#REF!</definedName>
    <definedName name="_4.1">[3]Sheet4!$A$214</definedName>
    <definedName name="_4.2">[3]Sheet4!$O$112</definedName>
    <definedName name="_5" localSheetId="18">#REF!</definedName>
    <definedName name="_5" localSheetId="1">#REF!</definedName>
    <definedName name="_5" localSheetId="0">#REF!</definedName>
    <definedName name="_5" localSheetId="13">#REF!</definedName>
    <definedName name="_5">#REF!</definedName>
    <definedName name="_5.1">[3]Sheet4!$A$318</definedName>
    <definedName name="_5.2">[3]Sheet4!$O$216</definedName>
    <definedName name="_6" localSheetId="18">#REF!</definedName>
    <definedName name="_6" localSheetId="1">#REF!</definedName>
    <definedName name="_6" localSheetId="0">#REF!</definedName>
    <definedName name="_6" localSheetId="13">#REF!</definedName>
    <definedName name="_6">#REF!</definedName>
    <definedName name="_6.1">[3]Sheet4!$A$422</definedName>
    <definedName name="_6.2">[3]Sheet4!$O$320</definedName>
    <definedName name="_7" localSheetId="18">#REF!</definedName>
    <definedName name="_7" localSheetId="1">#REF!</definedName>
    <definedName name="_7" localSheetId="0">#REF!</definedName>
    <definedName name="_7" localSheetId="13">#REF!</definedName>
    <definedName name="_7">#REF!</definedName>
    <definedName name="_7.1">[3]Sheet4!$A$526</definedName>
    <definedName name="_7.2">[3]Sheet4!$O$424</definedName>
    <definedName name="_8" localSheetId="15">#REF!</definedName>
    <definedName name="_8" localSheetId="18">#REF!</definedName>
    <definedName name="_8" localSheetId="1">#REF!</definedName>
    <definedName name="_8" localSheetId="0">#REF!</definedName>
    <definedName name="_8">#REF!</definedName>
    <definedName name="_9" localSheetId="15">#REF!</definedName>
    <definedName name="_9" localSheetId="18">#REF!</definedName>
    <definedName name="_9" localSheetId="1">#REF!</definedName>
    <definedName name="_9" localSheetId="0">#REF!</definedName>
    <definedName name="_9">#REF!</definedName>
    <definedName name="_ASH1" localSheetId="13">[10]Sheet4!$B$524:$E$625</definedName>
    <definedName name="_ASH1">[3]Sheet4!$B$524:$E$625</definedName>
    <definedName name="_ASH2" localSheetId="13">[10]Sheet4!$P$422:$Q$523</definedName>
    <definedName name="_ASH2">[3]Sheet4!$P$422:$Q$523</definedName>
    <definedName name="_ASS1" localSheetId="15">#REF!</definedName>
    <definedName name="_ASS1" localSheetId="18">#REF!</definedName>
    <definedName name="_ASS1" localSheetId="1">#REF!</definedName>
    <definedName name="_ASS1" localSheetId="0">#REF!</definedName>
    <definedName name="_ASS1" localSheetId="13">'[11]Abu Dhabi'!#REF!</definedName>
    <definedName name="_ASS1">#REF!</definedName>
    <definedName name="_ASS2" localSheetId="15">#REF!</definedName>
    <definedName name="_ASS2" localSheetId="18">#REF!</definedName>
    <definedName name="_ASS2" localSheetId="1">#REF!</definedName>
    <definedName name="_ASS2" localSheetId="0">#REF!</definedName>
    <definedName name="_ASS2" localSheetId="13">[12]BSDOMOVS!#REF!</definedName>
    <definedName name="_ASS2">#REF!</definedName>
    <definedName name="_BSC1" localSheetId="18">#REF!</definedName>
    <definedName name="_BSC1" localSheetId="1">#REF!</definedName>
    <definedName name="_BSC1" localSheetId="0">#REF!</definedName>
    <definedName name="_BSC1">#REF!</definedName>
    <definedName name="_BSD1" localSheetId="15">#REF!</definedName>
    <definedName name="_BSD1" localSheetId="18">#REF!</definedName>
    <definedName name="_BSD1" localSheetId="1">#REF!</definedName>
    <definedName name="_BSD1" localSheetId="0">#REF!</definedName>
    <definedName name="_BSD1">#REF!</definedName>
    <definedName name="_BSH1" localSheetId="15">#REF!</definedName>
    <definedName name="_BSH1" localSheetId="18">#REF!</definedName>
    <definedName name="_BSH1" localSheetId="1">#REF!</definedName>
    <definedName name="_BSH1" localSheetId="0">#REF!</definedName>
    <definedName name="_BSH1">#REF!</definedName>
    <definedName name="_BSP1" localSheetId="15">#REF!</definedName>
    <definedName name="_BSP1" localSheetId="18">#REF!</definedName>
    <definedName name="_BSP1" localSheetId="1">#REF!</definedName>
    <definedName name="_BSP1" localSheetId="0">#REF!</definedName>
    <definedName name="_BSP1">#REF!</definedName>
    <definedName name="_BSS1" localSheetId="15">#REF!</definedName>
    <definedName name="_BSS1" localSheetId="18">#REF!</definedName>
    <definedName name="_BSS1" localSheetId="1">#REF!</definedName>
    <definedName name="_BSS1" localSheetId="0">#REF!</definedName>
    <definedName name="_BSS1">#REF!</definedName>
    <definedName name="_BST1" localSheetId="15">#REF!</definedName>
    <definedName name="_BST1" localSheetId="18">#REF!</definedName>
    <definedName name="_BST1" localSheetId="1">#REF!</definedName>
    <definedName name="_BST1" localSheetId="0">#REF!</definedName>
    <definedName name="_BST1">#REF!</definedName>
    <definedName name="_Col1" localSheetId="15">#REF!</definedName>
    <definedName name="_Col1" localSheetId="18">#REF!</definedName>
    <definedName name="_Col1" localSheetId="1">#REF!</definedName>
    <definedName name="_Col1" localSheetId="0">#REF!</definedName>
    <definedName name="_Col1">#REF!</definedName>
    <definedName name="_crt1">'[13]I-B'!$B$1:$B$65536</definedName>
    <definedName name="_crt2">'[13]I-BR'!$B$1:$B$65536</definedName>
    <definedName name="_EPZ1" localSheetId="13">[10]Sheet4!$F$428:$F$519</definedName>
    <definedName name="_EPZ1">[3]Sheet4!$F$428:$F$519</definedName>
    <definedName name="_EPZ2" localSheetId="13">[10]Sheet4!$S$326:$S$417</definedName>
    <definedName name="_EPZ2">[3]Sheet4!$S$326:$S$417</definedName>
    <definedName name="_Fill" hidden="1">[3]Sheet4!$F$300</definedName>
    <definedName name="_xlnm._FilterDatabase" localSheetId="15" hidden="1">#REF!</definedName>
    <definedName name="_xlnm._FilterDatabase" localSheetId="18" hidden="1">#REF!</definedName>
    <definedName name="_xlnm._FilterDatabase" localSheetId="1" hidden="1">#REF!</definedName>
    <definedName name="_xlnm._FilterDatabase" localSheetId="0" hidden="1">#REF!</definedName>
    <definedName name="_xlnm._FilterDatabase" localSheetId="9" hidden="1">#REF!</definedName>
    <definedName name="_xlnm._FilterDatabase" hidden="1">#REF!</definedName>
    <definedName name="_FMT1">'[13]I-B'!$E$1:$E$65536</definedName>
    <definedName name="_FMT2">'[13]I-BR'!$E$1:$E$65536</definedName>
    <definedName name="_hub0207" localSheetId="15">[6]AL905!#REF!</definedName>
    <definedName name="_hub0207" localSheetId="18">[6]AL905!#REF!</definedName>
    <definedName name="_hub0207" localSheetId="1">[6]AL905!#REF!</definedName>
    <definedName name="_hub0207" localSheetId="0">[6]AL905!#REF!</definedName>
    <definedName name="_hub0207" localSheetId="13">[6]AL905!#REF!</definedName>
    <definedName name="_hub0207">[6]AL905!#REF!</definedName>
    <definedName name="_IEC1" localSheetId="15">#REF!</definedName>
    <definedName name="_IEC1" localSheetId="18">#REF!</definedName>
    <definedName name="_IEC1" localSheetId="1">#REF!</definedName>
    <definedName name="_IEC1" localSheetId="0">#REF!</definedName>
    <definedName name="_IEC1" localSheetId="13">#REF!</definedName>
    <definedName name="_IEC1">#REF!</definedName>
    <definedName name="_IED1" localSheetId="15">#REF!</definedName>
    <definedName name="_IED1" localSheetId="18">#REF!</definedName>
    <definedName name="_IED1" localSheetId="1">#REF!</definedName>
    <definedName name="_IED1" localSheetId="0">#REF!</definedName>
    <definedName name="_IED1">#REF!</definedName>
    <definedName name="_IEH1" localSheetId="15">#REF!</definedName>
    <definedName name="_IEH1" localSheetId="18">#REF!</definedName>
    <definedName name="_IEH1" localSheetId="1">#REF!</definedName>
    <definedName name="_IEH1" localSheetId="0">#REF!</definedName>
    <definedName name="_IEH1">#REF!</definedName>
    <definedName name="_IEP1" localSheetId="15">#REF!</definedName>
    <definedName name="_IEP1" localSheetId="18">#REF!</definedName>
    <definedName name="_IEP1" localSheetId="1">#REF!</definedName>
    <definedName name="_IEP1" localSheetId="0">#REF!</definedName>
    <definedName name="_IEP1">#REF!</definedName>
    <definedName name="_IES1" localSheetId="15">#REF!</definedName>
    <definedName name="_IES1" localSheetId="18">#REF!</definedName>
    <definedName name="_IES1" localSheetId="1">#REF!</definedName>
    <definedName name="_IES1" localSheetId="0">#REF!</definedName>
    <definedName name="_IES1">#REF!</definedName>
    <definedName name="_IET1" localSheetId="15">#REF!</definedName>
    <definedName name="_IET1" localSheetId="18">#REF!</definedName>
    <definedName name="_IET1" localSheetId="1">#REF!</definedName>
    <definedName name="_IET1" localSheetId="0">#REF!</definedName>
    <definedName name="_IET1">#REF!</definedName>
    <definedName name="_LIA1" localSheetId="15">#REF!</definedName>
    <definedName name="_LIA1" localSheetId="18">#REF!</definedName>
    <definedName name="_LIA1" localSheetId="1">#REF!</definedName>
    <definedName name="_LIA1" localSheetId="0">#REF!</definedName>
    <definedName name="_LIA1">#REF!</definedName>
    <definedName name="_LIA2" localSheetId="15">#REF!</definedName>
    <definedName name="_LIA2" localSheetId="18">#REF!</definedName>
    <definedName name="_LIA2" localSheetId="1">#REF!</definedName>
    <definedName name="_LIA2" localSheetId="0">#REF!</definedName>
    <definedName name="_LIA2">#REF!</definedName>
    <definedName name="_LMT1">'[13]I-B'!$G$1:$G$65536</definedName>
    <definedName name="_LMT2">'[13]I-BR'!$G$1:$G$65536</definedName>
    <definedName name="_PL1" localSheetId="15">#REF!</definedName>
    <definedName name="_PL1" localSheetId="18">#REF!</definedName>
    <definedName name="_PL1" localSheetId="1">#REF!</definedName>
    <definedName name="_PL1" localSheetId="0">#REF!</definedName>
    <definedName name="_PL1">#REF!</definedName>
    <definedName name="_PL2" localSheetId="15">#REF!</definedName>
    <definedName name="_PL2" localSheetId="18">#REF!</definedName>
    <definedName name="_PL2" localSheetId="1">#REF!</definedName>
    <definedName name="_PL2" localSheetId="0">#REF!</definedName>
    <definedName name="_PL2">#REF!</definedName>
    <definedName name="_pL3" localSheetId="18">#REF!</definedName>
    <definedName name="_pL3" localSheetId="1">#REF!</definedName>
    <definedName name="_pL3" localSheetId="0">#REF!</definedName>
    <definedName name="_pL3">#REF!</definedName>
    <definedName name="_PP2" localSheetId="15">#REF!</definedName>
    <definedName name="_PP2" localSheetId="18">#REF!</definedName>
    <definedName name="_PP2" localSheetId="1">#REF!</definedName>
    <definedName name="_PP2" localSheetId="0">#REF!</definedName>
    <definedName name="_PP2">#REF!</definedName>
    <definedName name="_PP3" localSheetId="15">#REF!</definedName>
    <definedName name="_PP3" localSheetId="18">#REF!</definedName>
    <definedName name="_PP3" localSheetId="1">#REF!</definedName>
    <definedName name="_PP3" localSheetId="0">#REF!</definedName>
    <definedName name="_PP3">#REF!</definedName>
    <definedName name="_REC1999">'[4]RC-0997'!$B$132:$Q$171</definedName>
    <definedName name="_TMO1" localSheetId="15">'[8]BS-OVS'!#REF!</definedName>
    <definedName name="_TMO1" localSheetId="18">'[8]BS-OVS'!#REF!</definedName>
    <definedName name="_TMO1" localSheetId="1">'[8]BS-OVS'!#REF!</definedName>
    <definedName name="_TMO1" localSheetId="0">'[8]BS-OVS'!#REF!</definedName>
    <definedName name="_TMO1" localSheetId="13">'[8]BS-OVS'!#REF!</definedName>
    <definedName name="_TMO1">'[8]BS-OVS'!#REF!</definedName>
    <definedName name="_UAE1" localSheetId="13">[10]Sheet4!$D$116:$D$207</definedName>
    <definedName name="_UAE1">[3]Sheet4!$D$116:$D$207</definedName>
    <definedName name="_UAE2" localSheetId="13">[10]Sheet4!$Q$14:$Q$105</definedName>
    <definedName name="_UAE2">[3]Sheet4!$Q$14:$Q$105</definedName>
    <definedName name="_UK1" localSheetId="13">[10]Sheet4!$F$324:$F$415</definedName>
    <definedName name="_UK1">[3]Sheet4!$F$324:$F$415</definedName>
    <definedName name="_UK2" localSheetId="13">[10]Sheet4!$S$222:$S$313</definedName>
    <definedName name="_UK2">[3]Sheet4!$S$222:$S$313</definedName>
    <definedName name="_USA1" localSheetId="13">[10]Sheet4!$D$428:$D$519</definedName>
    <definedName name="_USA1">[3]Sheet4!$D$428:$D$519</definedName>
    <definedName name="_USA2" localSheetId="13">[10]Sheet4!$Q$326:$Q$417</definedName>
    <definedName name="_USA2">[3]Sheet4!$Q$326:$Q$417</definedName>
    <definedName name="a" localSheetId="15">'[14]BS-OVS'!#REF!</definedName>
    <definedName name="a" localSheetId="18">'[14]BS-OVS'!#REF!</definedName>
    <definedName name="a" localSheetId="1">'[14]BS-OVS'!#REF!</definedName>
    <definedName name="a" localSheetId="0">'[14]BS-OVS'!#REF!</definedName>
    <definedName name="a" localSheetId="13">'[14]BS-OVS'!#REF!</definedName>
    <definedName name="a">'[14]BS-OVS'!#REF!</definedName>
    <definedName name="AA" localSheetId="18">#REF!</definedName>
    <definedName name="AA" localSheetId="1">#REF!</definedName>
    <definedName name="AA" localSheetId="0">#REF!</definedName>
    <definedName name="AA" localSheetId="13">#REF!</definedName>
    <definedName name="AA">#REF!</definedName>
    <definedName name="aaa" localSheetId="18">#REF!</definedName>
    <definedName name="aaa" localSheetId="1">#REF!</definedName>
    <definedName name="aaa" localSheetId="0">#REF!</definedName>
    <definedName name="aaa">#REF!</definedName>
    <definedName name="aaaaa" localSheetId="15">[9]Sheet3!#REF!</definedName>
    <definedName name="aaaaa" localSheetId="18">[9]Sheet3!#REF!</definedName>
    <definedName name="aaaaa" localSheetId="1">[9]Sheet3!#REF!</definedName>
    <definedName name="aaaaa" localSheetId="0">[9]Sheet3!#REF!</definedName>
    <definedName name="aaaaa" localSheetId="13">[9]Sheet3!#REF!</definedName>
    <definedName name="aaaaa">[9]Sheet3!#REF!</definedName>
    <definedName name="AB" localSheetId="18">#REF!</definedName>
    <definedName name="AB" localSheetId="1">#REF!</definedName>
    <definedName name="AB" localSheetId="0">#REF!</definedName>
    <definedName name="AB" localSheetId="13">#REF!</definedName>
    <definedName name="AB">#REF!</definedName>
    <definedName name="abc" localSheetId="15">#REF!</definedName>
    <definedName name="abc" localSheetId="18">#REF!</definedName>
    <definedName name="abc" localSheetId="1">#REF!</definedName>
    <definedName name="abc" localSheetId="0">#REF!</definedName>
    <definedName name="abc">#REF!</definedName>
    <definedName name="AC" localSheetId="18">#REF!</definedName>
    <definedName name="AC" localSheetId="1">#REF!</definedName>
    <definedName name="AC" localSheetId="0">#REF!</definedName>
    <definedName name="ac" localSheetId="13">[15]INPUT!$B$6:$G$83</definedName>
    <definedName name="AC">#REF!</definedName>
    <definedName name="Acc.Code" localSheetId="15">#REF!</definedName>
    <definedName name="Acc.Code" localSheetId="18">#REF!</definedName>
    <definedName name="Acc.Code" localSheetId="1">#REF!</definedName>
    <definedName name="Acc.Code" localSheetId="0">#REF!</definedName>
    <definedName name="Acc.Code">#REF!</definedName>
    <definedName name="ad">[16]A!$Q$604:$Q$639</definedName>
    <definedName name="adghs" localSheetId="18">#REF!</definedName>
    <definedName name="adghs" localSheetId="1">#REF!</definedName>
    <definedName name="adghs" localSheetId="0">#REF!</definedName>
    <definedName name="adghs">#REF!</definedName>
    <definedName name="ADV" localSheetId="15">[17]acct!#REF!</definedName>
    <definedName name="ADV" localSheetId="18">[17]acct!#REF!</definedName>
    <definedName name="ADV" localSheetId="1">[17]acct!#REF!</definedName>
    <definedName name="ADV" localSheetId="0">[17]acct!#REF!</definedName>
    <definedName name="ADV" localSheetId="13">[17]acct!#REF!</definedName>
    <definedName name="ADV">[17]acct!#REF!</definedName>
    <definedName name="AED" localSheetId="15">#REF!</definedName>
    <definedName name="AED" localSheetId="18">#REF!</definedName>
    <definedName name="AED" localSheetId="1">#REF!</definedName>
    <definedName name="AED" localSheetId="0">#REF!</definedName>
    <definedName name="AED">#REF!</definedName>
    <definedName name="affair" localSheetId="15">[18]BSDOMOVS!#REF!</definedName>
    <definedName name="affair" localSheetId="18">[18]BSDOMOVS!#REF!</definedName>
    <definedName name="affair" localSheetId="1">[18]BSDOMOVS!#REF!</definedName>
    <definedName name="affair" localSheetId="0">[18]BSDOMOVS!#REF!</definedName>
    <definedName name="affair" localSheetId="13">[18]BSDOMOVS!#REF!</definedName>
    <definedName name="affair">[18]BSDOMOVS!#REF!</definedName>
    <definedName name="AKK" localSheetId="6" hidden="1">{"'CALL MONEY'!$K$53"}</definedName>
    <definedName name="AKK" localSheetId="13" hidden="1">{"'CALL MONEY'!$K$53"}</definedName>
    <definedName name="AKK" localSheetId="9" hidden="1">{"'CALL MONEY'!$K$53"}</definedName>
    <definedName name="AKK" hidden="1">{"'CALL MONEY'!$K$53"}</definedName>
    <definedName name="alco" localSheetId="15">#REF!</definedName>
    <definedName name="alco" localSheetId="18">#REF!</definedName>
    <definedName name="alco" localSheetId="1">#REF!</definedName>
    <definedName name="alco" localSheetId="0">#REF!</definedName>
    <definedName name="alco">#REF!</definedName>
    <definedName name="alijamall1" localSheetId="0">'[1]last qrt2001'!#REF!</definedName>
    <definedName name="alijamall1">'[1]last qrt2001'!#REF!</definedName>
    <definedName name="Amount" localSheetId="15">#REF!</definedName>
    <definedName name="Amount" localSheetId="18">#REF!</definedName>
    <definedName name="Amount" localSheetId="1">#REF!</definedName>
    <definedName name="Amount" localSheetId="0">#REF!</definedName>
    <definedName name="Amount">#REF!</definedName>
    <definedName name="annex1" localSheetId="0">#REF!</definedName>
    <definedName name="annex1">#REF!</definedName>
    <definedName name="APAGE1" localSheetId="18">#REF!</definedName>
    <definedName name="APAGE1" localSheetId="1">#REF!</definedName>
    <definedName name="APAGE1" localSheetId="0">#REF!</definedName>
    <definedName name="APAGE1">#REF!</definedName>
    <definedName name="APAGE2" localSheetId="18">#REF!</definedName>
    <definedName name="APAGE2" localSheetId="1">#REF!</definedName>
    <definedName name="APAGE2" localSheetId="0">#REF!</definedName>
    <definedName name="APAGE2">#REF!</definedName>
    <definedName name="APAGE3" localSheetId="18">#REF!</definedName>
    <definedName name="APAGE3" localSheetId="1">#REF!</definedName>
    <definedName name="APAGE3" localSheetId="0">#REF!</definedName>
    <definedName name="APAGE3">#REF!</definedName>
    <definedName name="APAGE4" localSheetId="18">#REF!</definedName>
    <definedName name="APAGE4" localSheetId="1">#REF!</definedName>
    <definedName name="APAGE4" localSheetId="0">#REF!</definedName>
    <definedName name="APAGE4">#REF!</definedName>
    <definedName name="ARA_Threshold" localSheetId="18">#REF!</definedName>
    <definedName name="ARA_Threshold" localSheetId="1">#REF!</definedName>
    <definedName name="ARA_Threshold" localSheetId="0">#REF!</definedName>
    <definedName name="ARA_Threshold">#REF!</definedName>
    <definedName name="ARP_Threshold" localSheetId="18">#REF!</definedName>
    <definedName name="ARP_Threshold" localSheetId="1">#REF!</definedName>
    <definedName name="ARP_Threshold" localSheetId="0">#REF!</definedName>
    <definedName name="ARP_Threshold">#REF!</definedName>
    <definedName name="as">[10]Sheet4!$A$421:$Q$523</definedName>
    <definedName name="AS2DocOpenMode" hidden="1">"AS2DocumentEdit"</definedName>
    <definedName name="AS2LinkLS" hidden="1">#REF!</definedName>
    <definedName name="AS2ReportLS" hidden="1">1</definedName>
    <definedName name="AS2StaticLS" localSheetId="18" hidden="1">#REF!</definedName>
    <definedName name="AS2StaticLS" localSheetId="1" hidden="1">#REF!</definedName>
    <definedName name="AS2StaticLS" localSheetId="0" hidden="1">#REF!</definedName>
    <definedName name="AS2StaticLS" hidden="1">#REF!</definedName>
    <definedName name="AS2SyncStepLS" hidden="1">0</definedName>
    <definedName name="AS2TickmarkLS" localSheetId="18" hidden="1">#REF!</definedName>
    <definedName name="AS2TickmarkLS" localSheetId="1" hidden="1">#REF!</definedName>
    <definedName name="AS2TickmarkLS" localSheetId="0" hidden="1">#REF!</definedName>
    <definedName name="AS2TickmarkLS" localSheetId="13" hidden="1">#REF!</definedName>
    <definedName name="AS2TickmarkLS" hidden="1">#REF!</definedName>
    <definedName name="AS2VersionLS" hidden="1">300</definedName>
    <definedName name="asd" localSheetId="18">#REF!</definedName>
    <definedName name="asd" localSheetId="1">#REF!</definedName>
    <definedName name="asd" localSheetId="0">#REF!</definedName>
    <definedName name="asd">#REF!</definedName>
    <definedName name="asdf" localSheetId="6" hidden="1">{"'CALL MONEY'!$K$53"}</definedName>
    <definedName name="asdf" localSheetId="13" hidden="1">{"'CALL MONEY'!$K$53"}</definedName>
    <definedName name="asdf" localSheetId="9" hidden="1">{"'CALL MONEY'!$K$53"}</definedName>
    <definedName name="asdf" hidden="1">{"'CALL MONEY'!$K$53"}</definedName>
    <definedName name="ashdah" localSheetId="18">#REF!</definedName>
    <definedName name="ashdah" localSheetId="1">#REF!</definedName>
    <definedName name="ashdah" localSheetId="0">#REF!</definedName>
    <definedName name="ashdah">#REF!</definedName>
    <definedName name="ASHRAF" localSheetId="18">#REF!</definedName>
    <definedName name="ASHRAF" localSheetId="1">#REF!</definedName>
    <definedName name="ASHRAF" localSheetId="0">#REF!</definedName>
    <definedName name="ASHRAF" localSheetId="13">#REF!</definedName>
    <definedName name="ASHRAF">#REF!</definedName>
    <definedName name="ASSE" localSheetId="15">[9]Sheet3!#REF!</definedName>
    <definedName name="ASSE" localSheetId="18">[9]Sheet3!#REF!</definedName>
    <definedName name="ASSE" localSheetId="1">[9]Sheet3!#REF!</definedName>
    <definedName name="ASSE" localSheetId="0">[9]Sheet3!#REF!</definedName>
    <definedName name="ASSE" localSheetId="13">[9]Sheet3!#REF!</definedName>
    <definedName name="ASSE">[9]Sheet3!#REF!</definedName>
    <definedName name="ASSET1" localSheetId="18">#REF!</definedName>
    <definedName name="ASSET1" localSheetId="1">#REF!</definedName>
    <definedName name="ASSET1" localSheetId="0">#REF!</definedName>
    <definedName name="ASSET1" localSheetId="13">#REF!</definedName>
    <definedName name="ASSET1">#REF!</definedName>
    <definedName name="ASSET2" localSheetId="18">#REF!</definedName>
    <definedName name="ASSET2" localSheetId="1">#REF!</definedName>
    <definedName name="ASSET2" localSheetId="0">#REF!</definedName>
    <definedName name="ASSET2">#REF!</definedName>
    <definedName name="ASSET3" localSheetId="18">#REF!</definedName>
    <definedName name="ASSET3" localSheetId="1">#REF!</definedName>
    <definedName name="ASSET3" localSheetId="0">#REF!</definedName>
    <definedName name="ASSET3">#REF!</definedName>
    <definedName name="ASSET4" localSheetId="18">#REF!</definedName>
    <definedName name="ASSET4" localSheetId="1">#REF!</definedName>
    <definedName name="ASSET4" localSheetId="0">#REF!</definedName>
    <definedName name="ASSET4">#REF!</definedName>
    <definedName name="aug" localSheetId="15">#REF!</definedName>
    <definedName name="aug" localSheetId="18">#REF!</definedName>
    <definedName name="aug" localSheetId="1">#REF!</definedName>
    <definedName name="aug" localSheetId="0">#REF!</definedName>
    <definedName name="aug">#REF!</definedName>
    <definedName name="B" localSheetId="15">#REF!</definedName>
    <definedName name="B" localSheetId="18">#REF!</definedName>
    <definedName name="B" localSheetId="1">#REF!</definedName>
    <definedName name="B" localSheetId="0">#REF!</definedName>
    <definedName name="B">#REF!</definedName>
    <definedName name="bahrain">[19]BAHRAIN!$A$14:$F$23</definedName>
    <definedName name="BAHRAIN1">[3]Sheet4!$L$14:$L$105</definedName>
    <definedName name="BAHRAIN2">[3]Sheet4!$Y$14:$Y$105</definedName>
    <definedName name="BalanceSheetDates" localSheetId="18">#REF!</definedName>
    <definedName name="BalanceSheetDates" localSheetId="1">#REF!</definedName>
    <definedName name="BalanceSheetDates" localSheetId="0">#REF!</definedName>
    <definedName name="BalanceSheetDates">#REF!</definedName>
    <definedName name="bela" localSheetId="18">#REF!</definedName>
    <definedName name="bela" localSheetId="1">#REF!</definedName>
    <definedName name="bela" localSheetId="0">#REF!</definedName>
    <definedName name="bela">#REF!</definedName>
    <definedName name="BELOW" localSheetId="15">#REF!</definedName>
    <definedName name="BELOW" localSheetId="18">#REF!</definedName>
    <definedName name="BELOW" localSheetId="1">#REF!</definedName>
    <definedName name="BELOW" localSheetId="0">#REF!</definedName>
    <definedName name="BELOW">#REF!</definedName>
    <definedName name="BG_Del" hidden="1">15</definedName>
    <definedName name="BG_Ins" hidden="1">4</definedName>
    <definedName name="BG_Mod" hidden="1">6</definedName>
    <definedName name="BOOK" localSheetId="18">#REF!</definedName>
    <definedName name="BOOK" localSheetId="1">#REF!</definedName>
    <definedName name="BOOK" localSheetId="0">#REF!</definedName>
    <definedName name="BOOK">#REF!</definedName>
    <definedName name="BOTTOM" localSheetId="18">#REF!</definedName>
    <definedName name="BOTTOM" localSheetId="1">#REF!</definedName>
    <definedName name="BOTTOM" localSheetId="0">#REF!</definedName>
    <definedName name="BOTTOM">#REF!</definedName>
    <definedName name="BS">[20]woRKING!$A$177:$D$346</definedName>
    <definedName name="BSC" localSheetId="15">#REF!</definedName>
    <definedName name="BSC" localSheetId="18">#REF!</definedName>
    <definedName name="BSC" localSheetId="1">#REF!</definedName>
    <definedName name="BSC" localSheetId="0">#REF!</definedName>
    <definedName name="BSC">#REF!</definedName>
    <definedName name="BSCO" localSheetId="15">#REF!</definedName>
    <definedName name="BSCO" localSheetId="18">#REF!</definedName>
    <definedName name="BSCO" localSheetId="1">#REF!</definedName>
    <definedName name="BSCO" localSheetId="0">#REF!</definedName>
    <definedName name="BSCO">#REF!</definedName>
    <definedName name="BSCO1" localSheetId="15">#REF!</definedName>
    <definedName name="BSCO1" localSheetId="18">#REF!</definedName>
    <definedName name="BSCO1" localSheetId="1">#REF!</definedName>
    <definedName name="BSCO1" localSheetId="0">#REF!</definedName>
    <definedName name="BSCO1">#REF!</definedName>
    <definedName name="BSCOMB" localSheetId="18">#REF!</definedName>
    <definedName name="BSCOMB" localSheetId="1">#REF!</definedName>
    <definedName name="BSCOMB" localSheetId="0">#REF!</definedName>
    <definedName name="BSCOMB">#REF!</definedName>
    <definedName name="BSD" localSheetId="15">#REF!</definedName>
    <definedName name="BSD" localSheetId="18">#REF!</definedName>
    <definedName name="BSD" localSheetId="1">#REF!</definedName>
    <definedName name="BSD" localSheetId="0">#REF!</definedName>
    <definedName name="BSD">#REF!</definedName>
    <definedName name="bsdec">'[21]December 06'!$A$93:$D$158</definedName>
    <definedName name="bsdec06" localSheetId="15">#REF!</definedName>
    <definedName name="bsdec06" localSheetId="18">#REF!</definedName>
    <definedName name="bsdec06" localSheetId="1">#REF!</definedName>
    <definedName name="bsdec06" localSheetId="0">#REF!</definedName>
    <definedName name="bsdec06">#REF!</definedName>
    <definedName name="BSH" localSheetId="15">#REF!</definedName>
    <definedName name="BSH" localSheetId="18">#REF!</definedName>
    <definedName name="BSH" localSheetId="1">#REF!</definedName>
    <definedName name="BSH" localSheetId="0">#REF!</definedName>
    <definedName name="BSH">#REF!</definedName>
    <definedName name="bsmarch">[22]MarchSL904!$A$102:$C$191</definedName>
    <definedName name="bsmarch07">'[23]March 110'!$A$84:$C$153</definedName>
    <definedName name="bsn" localSheetId="15">#REF!</definedName>
    <definedName name="bsn" localSheetId="18">#REF!</definedName>
    <definedName name="bsn" localSheetId="1">#REF!</definedName>
    <definedName name="bsn" localSheetId="0">#REF!</definedName>
    <definedName name="bsn">#REF!</definedName>
    <definedName name="BSP" localSheetId="15">#REF!</definedName>
    <definedName name="BSP" localSheetId="18">#REF!</definedName>
    <definedName name="BSP" localSheetId="1">#REF!</definedName>
    <definedName name="BSP" localSheetId="0">#REF!</definedName>
    <definedName name="BSP">#REF!</definedName>
    <definedName name="BSS" localSheetId="15">#REF!</definedName>
    <definedName name="BSS" localSheetId="18">#REF!</definedName>
    <definedName name="BSS" localSheetId="1">#REF!</definedName>
    <definedName name="BSS" localSheetId="0">#REF!</definedName>
    <definedName name="BSS">#REF!</definedName>
    <definedName name="BST" localSheetId="15">#REF!</definedName>
    <definedName name="BST" localSheetId="18">#REF!</definedName>
    <definedName name="BST" localSheetId="1">#REF!</definedName>
    <definedName name="BST" localSheetId="0">#REF!</definedName>
    <definedName name="BST">#REF!</definedName>
    <definedName name="BuiltIn_AutoFilter___2" localSheetId="18">#REF!</definedName>
    <definedName name="BuiltIn_AutoFilter___2" localSheetId="1">#REF!</definedName>
    <definedName name="BuiltIn_AutoFilter___2" localSheetId="0">#REF!</definedName>
    <definedName name="BuiltIn_AutoFilter___2">#REF!</definedName>
    <definedName name="CC" localSheetId="15">'[1]last qrt2001'!#REF!</definedName>
    <definedName name="CC" localSheetId="18">'[1]last qrt2001'!#REF!</definedName>
    <definedName name="CC" localSheetId="1">'[1]last qrt2001'!#REF!</definedName>
    <definedName name="CC" localSheetId="0">'[1]last qrt2001'!#REF!</definedName>
    <definedName name="CC" localSheetId="13">[9]Sheet3!#REF!</definedName>
    <definedName name="CC">'[1]last qrt2001'!#REF!</definedName>
    <definedName name="CH.IN.EQUIT" localSheetId="15">[17]acct!#REF!</definedName>
    <definedName name="CH.IN.EQUIT" localSheetId="18">[17]acct!#REF!</definedName>
    <definedName name="CH.IN.EQUIT" localSheetId="1">[17]acct!#REF!</definedName>
    <definedName name="CH.IN.EQUIT" localSheetId="0">[17]acct!#REF!</definedName>
    <definedName name="CH.IN.EQUIT">[17]acct!#REF!</definedName>
    <definedName name="cHECK" localSheetId="15">[17]acct!#REF!</definedName>
    <definedName name="cHECK" localSheetId="18">[17]acct!#REF!</definedName>
    <definedName name="cHECK" localSheetId="1">[17]acct!#REF!</definedName>
    <definedName name="cHECK" localSheetId="0">[17]acct!#REF!</definedName>
    <definedName name="cHECK">[17]acct!#REF!</definedName>
    <definedName name="chk" localSheetId="15">#REF!</definedName>
    <definedName name="chk" localSheetId="18">#REF!</definedName>
    <definedName name="chk" localSheetId="1">#REF!</definedName>
    <definedName name="chk" localSheetId="0">#REF!</definedName>
    <definedName name="chk">#REF!</definedName>
    <definedName name="Classified" localSheetId="15">#REF!</definedName>
    <definedName name="Classified" localSheetId="18">#REF!</definedName>
    <definedName name="Classified" localSheetId="1">#REF!</definedName>
    <definedName name="Classified" localSheetId="0">#REF!</definedName>
    <definedName name="Classified">#REF!</definedName>
    <definedName name="closing" localSheetId="15">[12]BSDOMOVS!#REF!</definedName>
    <definedName name="closing" localSheetId="18">[12]BSDOMOVS!#REF!</definedName>
    <definedName name="closing" localSheetId="1">[12]BSDOMOVS!#REF!</definedName>
    <definedName name="closing" localSheetId="0">[12]BSDOMOVS!#REF!</definedName>
    <definedName name="closing" localSheetId="13">[12]BSDOMOVS!#REF!</definedName>
    <definedName name="closing">[12]BSDOMOVS!#REF!</definedName>
    <definedName name="ColorNames" localSheetId="18">#REF!</definedName>
    <definedName name="ColorNames" localSheetId="1">#REF!</definedName>
    <definedName name="ColorNames" localSheetId="0">#REF!</definedName>
    <definedName name="ColorNames" localSheetId="13">#REF!</definedName>
    <definedName name="ColorNames">#REF!</definedName>
    <definedName name="Commentary" localSheetId="15">#REF!</definedName>
    <definedName name="Commentary" localSheetId="18">#REF!</definedName>
    <definedName name="Commentary" localSheetId="1">#REF!</definedName>
    <definedName name="Commentary" localSheetId="0">#REF!</definedName>
    <definedName name="Commentary">#REF!</definedName>
    <definedName name="cons" localSheetId="6" hidden="1">{"'CALL MONEY'!$K$53"}</definedName>
    <definedName name="cons" localSheetId="13" hidden="1">{"'CALL MONEY'!$K$53"}</definedName>
    <definedName name="cons" localSheetId="9" hidden="1">{"'CALL MONEY'!$K$53"}</definedName>
    <definedName name="cons" hidden="1">{"'CALL MONEY'!$K$53"}</definedName>
    <definedName name="Conventions" localSheetId="18">#REF!</definedName>
    <definedName name="Conventions" localSheetId="1">#REF!</definedName>
    <definedName name="Conventions" localSheetId="0">#REF!</definedName>
    <definedName name="Conventions">#REF!</definedName>
    <definedName name="Copy" localSheetId="6" hidden="1">{"'CALL MONEY'!$K$53"}</definedName>
    <definedName name="Copy" localSheetId="13" hidden="1">{"'CALL MONEY'!$K$53"}</definedName>
    <definedName name="Copy" localSheetId="9" hidden="1">{"'CALL MONEY'!$K$53"}</definedName>
    <definedName name="Copy" hidden="1">{"'CALL MONEY'!$K$53"}</definedName>
    <definedName name="CRED" localSheetId="15">[17]acct!#REF!</definedName>
    <definedName name="CRED" localSheetId="18">[17]acct!#REF!</definedName>
    <definedName name="CRED" localSheetId="1">[17]acct!#REF!</definedName>
    <definedName name="CRED" localSheetId="0">[17]acct!#REF!</definedName>
    <definedName name="CRED">[17]acct!#REF!</definedName>
    <definedName name="Currency" localSheetId="18">#REF!</definedName>
    <definedName name="Currency" localSheetId="1">#REF!</definedName>
    <definedName name="Currency" localSheetId="0">#REF!</definedName>
    <definedName name="Currency" localSheetId="13">#REF!</definedName>
    <definedName name="Currency">#REF!</definedName>
    <definedName name="d" localSheetId="15">#REF!</definedName>
    <definedName name="d" localSheetId="18">#REF!</definedName>
    <definedName name="d" localSheetId="1">#REF!</definedName>
    <definedName name="d" localSheetId="0">#REF!</definedName>
    <definedName name="d">#REF!</definedName>
    <definedName name="da" localSheetId="18">#REF!</definedName>
    <definedName name="da" localSheetId="1">#REF!</definedName>
    <definedName name="da" localSheetId="0">#REF!</definedName>
    <definedName name="da">#REF!</definedName>
    <definedName name="Dbase" localSheetId="15">#REF!</definedName>
    <definedName name="Dbase" localSheetId="18">#REF!</definedName>
    <definedName name="Dbase" localSheetId="1">#REF!</definedName>
    <definedName name="Dbase" localSheetId="0">#REF!</definedName>
    <definedName name="Dbase">#REF!</definedName>
    <definedName name="DD" localSheetId="15">'[1]last qrt2001'!#REF!</definedName>
    <definedName name="DD" localSheetId="18">'[1]last qrt2001'!#REF!</definedName>
    <definedName name="DD" localSheetId="1">'[1]last qrt2001'!#REF!</definedName>
    <definedName name="DD" localSheetId="0">'[1]last qrt2001'!#REF!</definedName>
    <definedName name="DD" localSheetId="13">'[1]last qrt2001'!#REF!</definedName>
    <definedName name="DD">'[1]last qrt2001'!#REF!</definedName>
    <definedName name="dddd" localSheetId="15">'[24]BS-OVS'!#REF!</definedName>
    <definedName name="dddd" localSheetId="18">'[24]BS-OVS'!#REF!</definedName>
    <definedName name="dddd" localSheetId="1">'[24]BS-OVS'!#REF!</definedName>
    <definedName name="dddd" localSheetId="0">'[24]BS-OVS'!#REF!</definedName>
    <definedName name="dddd">'[24]BS-OVS'!#REF!</definedName>
    <definedName name="dEFF.LIA" localSheetId="15">[17]acct!#REF!</definedName>
    <definedName name="dEFF.LIA" localSheetId="18">[17]acct!#REF!</definedName>
    <definedName name="dEFF.LIA" localSheetId="1">[17]acct!#REF!</definedName>
    <definedName name="dEFF.LIA" localSheetId="0">[17]acct!#REF!</definedName>
    <definedName name="dEFF.LIA">[17]acct!#REF!</definedName>
    <definedName name="Description" localSheetId="15">#REF!</definedName>
    <definedName name="Description" localSheetId="18">#REF!</definedName>
    <definedName name="Description" localSheetId="1">#REF!</definedName>
    <definedName name="Description" localSheetId="0">#REF!</definedName>
    <definedName name="Description">#REF!</definedName>
    <definedName name="dfaf" localSheetId="18">#REF!</definedName>
    <definedName name="dfaf" localSheetId="1">#REF!</definedName>
    <definedName name="dfaf" localSheetId="0">#REF!</definedName>
    <definedName name="dfaf">#REF!</definedName>
    <definedName name="DFD" localSheetId="15">'[25]Abu Dhabi'!#REF!</definedName>
    <definedName name="DFD" localSheetId="18">'[25]Abu Dhabi'!#REF!</definedName>
    <definedName name="DFD" localSheetId="1">'[25]Abu Dhabi'!#REF!</definedName>
    <definedName name="DFD" localSheetId="0">'[25]Abu Dhabi'!#REF!</definedName>
    <definedName name="DFD" localSheetId="13">'[25]Abu Dhabi'!#REF!</definedName>
    <definedName name="DFD">'[25]Abu Dhabi'!#REF!</definedName>
    <definedName name="Differences" localSheetId="18">#REF!</definedName>
    <definedName name="Differences" localSheetId="1">#REF!</definedName>
    <definedName name="Differences" localSheetId="0">#REF!</definedName>
    <definedName name="Differences" localSheetId="13">#REF!</definedName>
    <definedName name="Differences">#REF!</definedName>
    <definedName name="Differnces" localSheetId="15">'[26]Notes1-5'!#REF!</definedName>
    <definedName name="Differnces" localSheetId="18">'[26]Notes1-5'!#REF!</definedName>
    <definedName name="Differnces" localSheetId="1">'[26]Notes1-5'!#REF!</definedName>
    <definedName name="Differnces" localSheetId="0">'[26]Notes1-5'!#REF!</definedName>
    <definedName name="Differnces" localSheetId="13">'[26]Notes1-5'!#REF!</definedName>
    <definedName name="Differnces">'[26]Notes1-5'!#REF!</definedName>
    <definedName name="doha">'[19]DOHA QATAR '!$A$14:$P$33</definedName>
    <definedName name="dom" localSheetId="15">#REF!</definedName>
    <definedName name="dom" localSheetId="18">#REF!</definedName>
    <definedName name="dom" localSheetId="1">#REF!</definedName>
    <definedName name="dom" localSheetId="0">#REF!</definedName>
    <definedName name="dom">#REF!</definedName>
    <definedName name="dombs" localSheetId="15">#REF!</definedName>
    <definedName name="dombs" localSheetId="18">#REF!</definedName>
    <definedName name="dombs" localSheetId="1">#REF!</definedName>
    <definedName name="dombs" localSheetId="0">#REF!</definedName>
    <definedName name="dombs">#REF!</definedName>
    <definedName name="DOMOVS" localSheetId="18">#REF!</definedName>
    <definedName name="DOMOVS" localSheetId="1">#REF!</definedName>
    <definedName name="DOMOVS" localSheetId="0">#REF!</definedName>
    <definedName name="DOMOVS">#REF!</definedName>
    <definedName name="dr" localSheetId="18">#REF!</definedName>
    <definedName name="dr" localSheetId="1">#REF!</definedName>
    <definedName name="dr" localSheetId="0">#REF!</definedName>
    <definedName name="dr">#REF!</definedName>
    <definedName name="dx" localSheetId="15">#REF!</definedName>
    <definedName name="dx" localSheetId="18">#REF!</definedName>
    <definedName name="dx" localSheetId="1">#REF!</definedName>
    <definedName name="dx" localSheetId="0">#REF!</definedName>
    <definedName name="dx">#REF!</definedName>
    <definedName name="E" localSheetId="18">#REF!</definedName>
    <definedName name="E" localSheetId="1">#REF!</definedName>
    <definedName name="E" localSheetId="0">#REF!</definedName>
    <definedName name="E">#REF!</definedName>
    <definedName name="EPAGE1" localSheetId="18">#REF!</definedName>
    <definedName name="EPAGE1" localSheetId="1">#REF!</definedName>
    <definedName name="EPAGE1" localSheetId="0">#REF!</definedName>
    <definedName name="EPAGE1">#REF!</definedName>
    <definedName name="EXP" localSheetId="15">'[1]last qrt2001'!#REF!</definedName>
    <definedName name="EXP" localSheetId="18">'[1]last qrt2001'!#REF!</definedName>
    <definedName name="EXP" localSheetId="1">'[1]last qrt2001'!#REF!</definedName>
    <definedName name="EXP" localSheetId="0">'[1]last qrt2001'!#REF!</definedName>
    <definedName name="EXP" localSheetId="13">#REF!</definedName>
    <definedName name="EXP">'[1]last qrt2001'!#REF!</definedName>
    <definedName name="F" localSheetId="15">'[27]FINANCE CODE'!#REF!</definedName>
    <definedName name="F" localSheetId="18">'[27]FINANCE CODE'!#REF!</definedName>
    <definedName name="F" localSheetId="1">'[27]FINANCE CODE'!#REF!</definedName>
    <definedName name="F" localSheetId="0">'[27]FINANCE CODE'!#REF!</definedName>
    <definedName name="F" localSheetId="13">'[27]FINANCE CODE'!#REF!</definedName>
    <definedName name="F">'[27]FINANCE CODE'!#REF!</definedName>
    <definedName name="f_name">'[28]A-C CODE &amp; NAME'!$B$1:$C$193</definedName>
    <definedName name="FA" localSheetId="15">[17]acct!#REF!</definedName>
    <definedName name="FA" localSheetId="18">[17]acct!#REF!</definedName>
    <definedName name="FA" localSheetId="1">[17]acct!#REF!</definedName>
    <definedName name="FA" localSheetId="0">[17]acct!#REF!</definedName>
    <definedName name="FA" localSheetId="13">[17]acct!#REF!</definedName>
    <definedName name="FA">[17]acct!#REF!</definedName>
    <definedName name="Fcy" localSheetId="15">#REF!</definedName>
    <definedName name="Fcy" localSheetId="18">#REF!</definedName>
    <definedName name="Fcy" localSheetId="1">#REF!</definedName>
    <definedName name="Fcy" localSheetId="0">#REF!</definedName>
    <definedName name="Fcy">#REF!</definedName>
    <definedName name="FDE" localSheetId="15">'[29]Notes1-5'!#REF!</definedName>
    <definedName name="FDE" localSheetId="18">'[29]Notes1-5'!#REF!</definedName>
    <definedName name="FDE" localSheetId="1">'[29]Notes1-5'!#REF!</definedName>
    <definedName name="FDE" localSheetId="0">'[29]Notes1-5'!#REF!</definedName>
    <definedName name="FDE" localSheetId="13">'[29]Notes1-5'!#REF!</definedName>
    <definedName name="FDE">'[29]Notes1-5'!#REF!</definedName>
    <definedName name="FinancialGraphs" localSheetId="15">#REF!</definedName>
    <definedName name="FinancialGraphs" localSheetId="18">#REF!</definedName>
    <definedName name="FinancialGraphs" localSheetId="1">#REF!</definedName>
    <definedName name="FinancialGraphs" localSheetId="0">#REF!</definedName>
    <definedName name="FinancialGraphs" localSheetId="13">#REF!</definedName>
    <definedName name="FinancialGraphs">#REF!</definedName>
    <definedName name="FINASSET" localSheetId="15">[17]acct!#REF!</definedName>
    <definedName name="FINASSET" localSheetId="18">[17]acct!#REF!</definedName>
    <definedName name="FINASSET" localSheetId="1">[17]acct!#REF!</definedName>
    <definedName name="FINASSET" localSheetId="0">[17]acct!#REF!</definedName>
    <definedName name="FINASSET" localSheetId="13">[17]acct!#REF!</definedName>
    <definedName name="FINASSET">[17]acct!#REF!</definedName>
    <definedName name="flegtcher123" hidden="1">{"'CALL MONEY'!$K$53"}</definedName>
    <definedName name="fletcher" hidden="1">{"'CALL MONEY'!$K$53"}</definedName>
    <definedName name="Foreign" localSheetId="15">#REF!</definedName>
    <definedName name="Foreign" localSheetId="18">#REF!</definedName>
    <definedName name="Foreign" localSheetId="1">#REF!</definedName>
    <definedName name="Foreign" localSheetId="0">#REF!</definedName>
    <definedName name="Foreign">#REF!</definedName>
    <definedName name="FORM" localSheetId="15">#REF!</definedName>
    <definedName name="FORM" localSheetId="18">#REF!</definedName>
    <definedName name="FORM" localSheetId="1">#REF!</definedName>
    <definedName name="FORM" localSheetId="0">#REF!</definedName>
    <definedName name="FORM">#REF!</definedName>
    <definedName name="FP_EU_0206__00246_04" localSheetId="15">#REF!</definedName>
    <definedName name="FP_EU_0206__00246_04" localSheetId="18">#REF!</definedName>
    <definedName name="FP_EU_0206__00246_04" localSheetId="1">#REF!</definedName>
    <definedName name="FP_EU_0206__00246_04" localSheetId="0">#REF!</definedName>
    <definedName name="FP_EU_0206__00246_04">#REF!</definedName>
    <definedName name="FSA" localSheetId="18">#REF!</definedName>
    <definedName name="FSA" localSheetId="1">#REF!</definedName>
    <definedName name="FSA" localSheetId="0">#REF!</definedName>
    <definedName name="FSA">#REF!</definedName>
    <definedName name="G" localSheetId="18">#REF!</definedName>
    <definedName name="G" localSheetId="1">#REF!</definedName>
    <definedName name="G" localSheetId="0">#REF!</definedName>
    <definedName name="G">#REF!</definedName>
    <definedName name="g54." localSheetId="15">#REF!</definedName>
    <definedName name="g54." localSheetId="18">#REF!</definedName>
    <definedName name="g54." localSheetId="1">#REF!</definedName>
    <definedName name="g54." localSheetId="0">#REF!</definedName>
    <definedName name="g54.">#REF!</definedName>
    <definedName name="Hamid" localSheetId="18">#REF!</definedName>
    <definedName name="Hamid" localSheetId="1">#REF!</definedName>
    <definedName name="Hamid" localSheetId="0">#REF!</definedName>
    <definedName name="Hamid">#REF!</definedName>
    <definedName name="hh" localSheetId="6" hidden="1">{"'CALL MONEY'!$K$53"}</definedName>
    <definedName name="hh" localSheetId="13" hidden="1">{"'CALL MONEY'!$K$53"}</definedName>
    <definedName name="hh" localSheetId="9" hidden="1">{"'CALL MONEY'!$K$53"}</definedName>
    <definedName name="hh" hidden="1">{"'CALL MONEY'!$K$53"}</definedName>
    <definedName name="html" localSheetId="6" hidden="1">{"'CALL MONEY'!$K$53"}</definedName>
    <definedName name="html" localSheetId="13" hidden="1">{"'CALL MONEY'!$K$53"}</definedName>
    <definedName name="html" localSheetId="9" hidden="1">{"'CALL MONEY'!$K$53"}</definedName>
    <definedName name="html" hidden="1">{"'CALL MONEY'!$K$53"}</definedName>
    <definedName name="html_cntrl" localSheetId="6" hidden="1">{"'CALL MONEY'!$K$53"}</definedName>
    <definedName name="html_cntrl" localSheetId="13" hidden="1">{"'CALL MONEY'!$K$53"}</definedName>
    <definedName name="html_cntrl" localSheetId="9" hidden="1">{"'CALL MONEY'!$K$53"}</definedName>
    <definedName name="html_cntrl" hidden="1">{"'CALL MONEY'!$K$53"}</definedName>
    <definedName name="html_cntrl465454" localSheetId="6" hidden="1">{"'CALL MONEY'!$K$53"}</definedName>
    <definedName name="html_cntrl465454" localSheetId="13" hidden="1">{"'CALL MONEY'!$K$53"}</definedName>
    <definedName name="html_cntrl465454" localSheetId="9" hidden="1">{"'CALL MONEY'!$K$53"}</definedName>
    <definedName name="html_cntrl465454" hidden="1">{"'CALL MONEY'!$K$53"}</definedName>
    <definedName name="HTML_CodePage" hidden="1">1252</definedName>
    <definedName name="HTML_Control" localSheetId="6" hidden="1">{"'CALL MONEY'!$K$53"}</definedName>
    <definedName name="HTML_Control" localSheetId="13" hidden="1">{"'CALL MONEY'!$K$53"}</definedName>
    <definedName name="HTML_Control" localSheetId="9" hidden="1">{"'CALL MONEY'!$K$53"}</definedName>
    <definedName name="HTML_Control" hidden="1">{"'CALL MONEY'!$K$53"}</definedName>
    <definedName name="html_ctl78" localSheetId="6" hidden="1">{"'CALL MONEY'!$K$53"}</definedName>
    <definedName name="html_ctl78" localSheetId="13" hidden="1">{"'CALL MONEY'!$K$53"}</definedName>
    <definedName name="html_ctl78" localSheetId="9"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 localSheetId="18">#REF!</definedName>
    <definedName name="I" localSheetId="1">#REF!</definedName>
    <definedName name="I" localSheetId="0">#REF!</definedName>
    <definedName name="I" localSheetId="13">#REF!</definedName>
    <definedName name="I">#REF!</definedName>
    <definedName name="IDFUIU" localSheetId="18">#REF!</definedName>
    <definedName name="IDFUIU" localSheetId="1">#REF!</definedName>
    <definedName name="IDFUIU" localSheetId="0">#REF!</definedName>
    <definedName name="IDFUIU">#REF!</definedName>
    <definedName name="IEC" localSheetId="15">#REF!</definedName>
    <definedName name="IEC" localSheetId="18">#REF!</definedName>
    <definedName name="IEC" localSheetId="1">#REF!</definedName>
    <definedName name="IEC" localSheetId="0">#REF!</definedName>
    <definedName name="IEC">#REF!</definedName>
    <definedName name="IECO" localSheetId="15">#REF!</definedName>
    <definedName name="IECO" localSheetId="18">#REF!</definedName>
    <definedName name="IECO" localSheetId="1">#REF!</definedName>
    <definedName name="IECO" localSheetId="0">#REF!</definedName>
    <definedName name="IECO">#REF!</definedName>
    <definedName name="IECO1" localSheetId="15">#REF!</definedName>
    <definedName name="IECO1" localSheetId="18">#REF!</definedName>
    <definedName name="IECO1" localSheetId="1">#REF!</definedName>
    <definedName name="IECO1" localSheetId="0">#REF!</definedName>
    <definedName name="IECO1">#REF!</definedName>
    <definedName name="IED" localSheetId="15">#REF!</definedName>
    <definedName name="IED" localSheetId="18">#REF!</definedName>
    <definedName name="IED" localSheetId="1">#REF!</definedName>
    <definedName name="IED" localSheetId="0">#REF!</definedName>
    <definedName name="IED">#REF!</definedName>
    <definedName name="IEH" localSheetId="15">#REF!</definedName>
    <definedName name="IEH" localSheetId="18">#REF!</definedName>
    <definedName name="IEH" localSheetId="1">#REF!</definedName>
    <definedName name="IEH" localSheetId="0">#REF!</definedName>
    <definedName name="IEH">#REF!</definedName>
    <definedName name="IEP" localSheetId="15">#REF!</definedName>
    <definedName name="IEP" localSheetId="18">#REF!</definedName>
    <definedName name="IEP" localSheetId="1">#REF!</definedName>
    <definedName name="IEP" localSheetId="0">#REF!</definedName>
    <definedName name="IEP">#REF!</definedName>
    <definedName name="IES" localSheetId="15">#REF!</definedName>
    <definedName name="IES" localSheetId="18">#REF!</definedName>
    <definedName name="IES" localSheetId="1">#REF!</definedName>
    <definedName name="IES" localSheetId="0">#REF!</definedName>
    <definedName name="IES">#REF!</definedName>
    <definedName name="IET" localSheetId="15">#REF!</definedName>
    <definedName name="IET" localSheetId="18">#REF!</definedName>
    <definedName name="IET" localSheetId="1">#REF!</definedName>
    <definedName name="IET" localSheetId="0">#REF!</definedName>
    <definedName name="IET">#REF!</definedName>
    <definedName name="INC" localSheetId="15">'[1]last qrt2001'!#REF!</definedName>
    <definedName name="INC" localSheetId="18">'[1]last qrt2001'!#REF!</definedName>
    <definedName name="INC" localSheetId="1">'[1]last qrt2001'!#REF!</definedName>
    <definedName name="INC" localSheetId="0">'[1]last qrt2001'!#REF!</definedName>
    <definedName name="INC" localSheetId="13">#REF!</definedName>
    <definedName name="INC">'[1]last qrt2001'!#REF!</definedName>
    <definedName name="IncomeStatementDates" localSheetId="18">#REF!</definedName>
    <definedName name="IncomeStatementDates" localSheetId="1">#REF!</definedName>
    <definedName name="IncomeStatementDates" localSheetId="0">#REF!</definedName>
    <definedName name="IncomeStatementDates" localSheetId="13">#REF!</definedName>
    <definedName name="IncomeStatementDates">#REF!</definedName>
    <definedName name="INVEST" localSheetId="15">[17]acct!#REF!</definedName>
    <definedName name="INVEST" localSheetId="18">[17]acct!#REF!</definedName>
    <definedName name="INVEST" localSheetId="1">[17]acct!#REF!</definedName>
    <definedName name="INVEST" localSheetId="0">[17]acct!#REF!</definedName>
    <definedName name="INVEST" localSheetId="13">[17]acct!#REF!</definedName>
    <definedName name="INVEST">[17]acct!#REF!</definedName>
    <definedName name="IPAGE1" localSheetId="18">#REF!</definedName>
    <definedName name="IPAGE1" localSheetId="1">#REF!</definedName>
    <definedName name="IPAGE1" localSheetId="0">#REF!</definedName>
    <definedName name="IPAGE1" localSheetId="13">#REF!</definedName>
    <definedName name="IPAGE1">#REF!</definedName>
    <definedName name="iqbal" localSheetId="15">[30]Sheet2!#REF!</definedName>
    <definedName name="iqbal" localSheetId="18">[30]Sheet2!#REF!</definedName>
    <definedName name="iqbal" localSheetId="1">[30]Sheet2!#REF!</definedName>
    <definedName name="iqbal" localSheetId="0">[30]Sheet2!#REF!</definedName>
    <definedName name="iqbal" localSheetId="13">[30]Sheet2!#REF!</definedName>
    <definedName name="iqbal">[30]Sheet2!#REF!</definedName>
    <definedName name="iu" localSheetId="15">#REF!</definedName>
    <definedName name="iu" localSheetId="18">#REF!</definedName>
    <definedName name="iu" localSheetId="1">#REF!</definedName>
    <definedName name="iu" localSheetId="0">#REF!</definedName>
    <definedName name="iu">#REF!</definedName>
    <definedName name="J" localSheetId="18">#REF!</definedName>
    <definedName name="J" localSheetId="1">#REF!</definedName>
    <definedName name="J" localSheetId="0">#REF!</definedName>
    <definedName name="J">#REF!</definedName>
    <definedName name="kauser" localSheetId="15">#REF!</definedName>
    <definedName name="kauser" localSheetId="18">#REF!</definedName>
    <definedName name="kauser" localSheetId="1">#REF!</definedName>
    <definedName name="kauser" localSheetId="0">#REF!</definedName>
    <definedName name="kauser">#REF!</definedName>
    <definedName name="L" localSheetId="18">#REF!</definedName>
    <definedName name="L" localSheetId="1">#REF!</definedName>
    <definedName name="L" localSheetId="0">#REF!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IAB1" localSheetId="18">#REF!</definedName>
    <definedName name="LIAB1" localSheetId="1">#REF!</definedName>
    <definedName name="LIAB1" localSheetId="0">#REF!</definedName>
    <definedName name="LIAB1" localSheetId="13">#REF!</definedName>
    <definedName name="LIAB1">#REF!</definedName>
    <definedName name="LIAB2" localSheetId="18">#REF!</definedName>
    <definedName name="LIAB2" localSheetId="1">#REF!</definedName>
    <definedName name="LIAB2" localSheetId="0">#REF!</definedName>
    <definedName name="LIAB2">#REF!</definedName>
    <definedName name="LIAB3" localSheetId="18">#REF!</definedName>
    <definedName name="LIAB3" localSheetId="1">#REF!</definedName>
    <definedName name="LIAB3" localSheetId="0">#REF!</definedName>
    <definedName name="LIAB3">#REF!</definedName>
    <definedName name="LIAB4" localSheetId="18">#REF!</definedName>
    <definedName name="LIAB4" localSheetId="1">#REF!</definedName>
    <definedName name="LIAB4" localSheetId="0">#REF!</definedName>
    <definedName name="LIAB4">#REF!</definedName>
    <definedName name="LIBAST" localSheetId="18">#REF!</definedName>
    <definedName name="LIBAST" localSheetId="1">#REF!</definedName>
    <definedName name="LIBAST" localSheetId="0">#REF!</definedName>
    <definedName name="LIBAST">#REF!</definedName>
    <definedName name="lkup">[31]Ranges!$B$3:$C$12</definedName>
    <definedName name="LOANS" localSheetId="15">[17]acct!#REF!</definedName>
    <definedName name="LOANS" localSheetId="18">[17]acct!#REF!</definedName>
    <definedName name="LOANS" localSheetId="1">[17]acct!#REF!</definedName>
    <definedName name="LOANS" localSheetId="0">[17]acct!#REF!</definedName>
    <definedName name="LOANS" localSheetId="13">[17]acct!#REF!</definedName>
    <definedName name="LOANS">[17]acct!#REF!</definedName>
    <definedName name="longterm" localSheetId="15">#REF!</definedName>
    <definedName name="longterm" localSheetId="18">#REF!</definedName>
    <definedName name="longterm" localSheetId="1">#REF!</definedName>
    <definedName name="longterm" localSheetId="0">#REF!</definedName>
    <definedName name="longterm">#REF!</definedName>
    <definedName name="LPAGE1" localSheetId="18">#REF!</definedName>
    <definedName name="LPAGE1" localSheetId="1">#REF!</definedName>
    <definedName name="LPAGE1" localSheetId="0">#REF!</definedName>
    <definedName name="LPAGE1">#REF!</definedName>
    <definedName name="LPAGE2" localSheetId="18">#REF!</definedName>
    <definedName name="LPAGE2" localSheetId="1">#REF!</definedName>
    <definedName name="LPAGE2" localSheetId="0">#REF!</definedName>
    <definedName name="LPAGE2">#REF!</definedName>
    <definedName name="LPAGE3" localSheetId="18">#REF!</definedName>
    <definedName name="LPAGE3" localSheetId="1">#REF!</definedName>
    <definedName name="LPAGE3" localSheetId="0">#REF!</definedName>
    <definedName name="LPAGE3">#REF!</definedName>
    <definedName name="LPAGE4" localSheetId="18">#REF!</definedName>
    <definedName name="LPAGE4" localSheetId="1">#REF!</definedName>
    <definedName name="LPAGE4" localSheetId="0">#REF!</definedName>
    <definedName name="LPAGE4">#REF!</definedName>
    <definedName name="M" localSheetId="18">#REF!</definedName>
    <definedName name="M" localSheetId="1">#REF!</definedName>
    <definedName name="M" localSheetId="0">#REF!</definedName>
    <definedName name="M">#REF!</definedName>
    <definedName name="main" localSheetId="18">#REF!</definedName>
    <definedName name="main" localSheetId="1">#REF!</definedName>
    <definedName name="main" localSheetId="0">#REF!</definedName>
    <definedName name="main">#REF!</definedName>
    <definedName name="MANAMABS" localSheetId="15">#REF!</definedName>
    <definedName name="MANAMABS" localSheetId="18">#REF!</definedName>
    <definedName name="MANAMABS" localSheetId="1">#REF!</definedName>
    <definedName name="MANAMABS" localSheetId="0">#REF!</definedName>
    <definedName name="MANAMABS">#REF!</definedName>
    <definedName name="manamabs0207">[32]Sheet3!$A$157:$C$321</definedName>
    <definedName name="Manamapl" localSheetId="15">#REF!</definedName>
    <definedName name="Manamapl" localSheetId="18">#REF!</definedName>
    <definedName name="Manamapl" localSheetId="1">#REF!</definedName>
    <definedName name="Manamapl" localSheetId="0">#REF!</definedName>
    <definedName name="Manamapl">#REF!</definedName>
    <definedName name="manamapl0207">[32]Sheet3!$A$5:$C$153</definedName>
    <definedName name="Manamapl5" localSheetId="15">#REF!</definedName>
    <definedName name="Manamapl5" localSheetId="18">#REF!</definedName>
    <definedName name="Manamapl5" localSheetId="1">#REF!</definedName>
    <definedName name="Manamapl5" localSheetId="0">#REF!</definedName>
    <definedName name="Manamapl5">#REF!</definedName>
    <definedName name="masroor" localSheetId="15">#REF!</definedName>
    <definedName name="masroor" localSheetId="18">#REF!</definedName>
    <definedName name="masroor" localSheetId="1">#REF!</definedName>
    <definedName name="masroor" localSheetId="0">#REF!</definedName>
    <definedName name="masroor">#REF!</definedName>
    <definedName name="MAZ" localSheetId="15">'[33]T-BILL'!#REF!</definedName>
    <definedName name="MAZ" localSheetId="18">'[33]T-BILL'!#REF!</definedName>
    <definedName name="MAZ" localSheetId="1">'[33]T-BILL'!#REF!</definedName>
    <definedName name="MAZ" localSheetId="0">'[33]T-BILL'!#REF!</definedName>
    <definedName name="MAZ" localSheetId="13">'[33]T-BILL'!#REF!</definedName>
    <definedName name="MAZ">'[33]T-BILL'!#REF!</definedName>
    <definedName name="MLNTREGISTER" localSheetId="18">#REF!</definedName>
    <definedName name="MLNTREGISTER" localSheetId="1">#REF!</definedName>
    <definedName name="MLNTREGISTER" localSheetId="0">#REF!</definedName>
    <definedName name="MLNTREGISTER" localSheetId="13">#REF!</definedName>
    <definedName name="MLNTREGISTER">#REF!</definedName>
    <definedName name="MR">'[34]Market Rates'!$B$1:$G$65536</definedName>
    <definedName name="N" localSheetId="18">#REF!</definedName>
    <definedName name="N" localSheetId="1">#REF!</definedName>
    <definedName name="N" localSheetId="0">#REF!</definedName>
    <definedName name="N" localSheetId="13">#REF!</definedName>
    <definedName name="N">#REF!</definedName>
    <definedName name="NEW">'[35]Implied Rate'!$B$49:$BC$408</definedName>
    <definedName name="note" localSheetId="13" hidden="1">{"'CALL MONEY'!$K$53"}</definedName>
    <definedName name="note" hidden="1">{"'CALL MONEY'!$K$53"}</definedName>
    <definedName name="Note55" localSheetId="15">'[36]BS-OVS'!#REF!</definedName>
    <definedName name="Note55" localSheetId="18">'[36]BS-OVS'!#REF!</definedName>
    <definedName name="Note55" localSheetId="1">'[36]BS-OVS'!#REF!</definedName>
    <definedName name="Note55" localSheetId="0">'[36]BS-OVS'!#REF!</definedName>
    <definedName name="Note55" localSheetId="13">'[36]BS-OVS'!#REF!</definedName>
    <definedName name="Note55">'[36]BS-OVS'!#REF!</definedName>
    <definedName name="Note58" localSheetId="15">'[24]BS-OVS'!#REF!</definedName>
    <definedName name="Note58" localSheetId="18">'[24]BS-OVS'!#REF!</definedName>
    <definedName name="Note58" localSheetId="1">'[24]BS-OVS'!#REF!</definedName>
    <definedName name="Note58" localSheetId="0">'[24]BS-OVS'!#REF!</definedName>
    <definedName name="Note58">'[24]BS-OVS'!#REF!</definedName>
    <definedName name="npl" localSheetId="18">#REF!</definedName>
    <definedName name="npl" localSheetId="1">#REF!</definedName>
    <definedName name="npl" localSheetId="0">#REF!</definedName>
    <definedName name="npl" localSheetId="13">#REF!</definedName>
    <definedName name="npl">#REF!</definedName>
    <definedName name="nplsum" localSheetId="18">#REF!</definedName>
    <definedName name="nplsum" localSheetId="1">#REF!</definedName>
    <definedName name="nplsum" localSheetId="0">#REF!</definedName>
    <definedName name="nplsum">#REF!</definedName>
    <definedName name="O" localSheetId="18">#REF!</definedName>
    <definedName name="O" localSheetId="1">#REF!</definedName>
    <definedName name="O" localSheetId="0">#REF!</definedName>
    <definedName name="O" localSheetId="13">#REF!</definedName>
    <definedName name="O">#REF!</definedName>
    <definedName name="os" localSheetId="15">#REF!</definedName>
    <definedName name="os" localSheetId="18">#REF!</definedName>
    <definedName name="os" localSheetId="1">#REF!</definedName>
    <definedName name="os" localSheetId="0">#REF!</definedName>
    <definedName name="os">#REF!</definedName>
    <definedName name="OSAL" localSheetId="18">#REF!</definedName>
    <definedName name="OSAL" localSheetId="1">#REF!</definedName>
    <definedName name="OSAL" localSheetId="0">#REF!</definedName>
    <definedName name="OSAL">#REF!</definedName>
    <definedName name="osbs" localSheetId="15">#REF!</definedName>
    <definedName name="osbs" localSheetId="18">#REF!</definedName>
    <definedName name="osbs" localSheetId="1">#REF!</definedName>
    <definedName name="osbs" localSheetId="0">#REF!</definedName>
    <definedName name="osbs">#REF!</definedName>
    <definedName name="OVER" localSheetId="15">#REF!</definedName>
    <definedName name="OVER" localSheetId="18">#REF!</definedName>
    <definedName name="OVER" localSheetId="1">#REF!</definedName>
    <definedName name="OVER" localSheetId="0">#REF!</definedName>
    <definedName name="OVER">#REF!</definedName>
    <definedName name="P" localSheetId="18">#REF!</definedName>
    <definedName name="P" localSheetId="1">#REF!</definedName>
    <definedName name="P" localSheetId="0">#REF!</definedName>
    <definedName name="P">#REF!</definedName>
    <definedName name="PAGE2" localSheetId="18">#REF!</definedName>
    <definedName name="PAGE2" localSheetId="1">#REF!</definedName>
    <definedName name="PAGE2" localSheetId="0">#REF!</definedName>
    <definedName name="PAGE2">#REF!</definedName>
    <definedName name="pkr">[19]PAKISTAN!$B$9:$L$24</definedName>
    <definedName name="pl">[20]woRKING!$A$3:$D$172</definedName>
    <definedName name="plbdec">'[37]December 06'!$A$5:$D$102</definedName>
    <definedName name="plbnov">'[37]November 06'!$A$5:$D$101</definedName>
    <definedName name="pld" localSheetId="15">#REF!</definedName>
    <definedName name="pld" localSheetId="18">#REF!</definedName>
    <definedName name="pld" localSheetId="1">#REF!</definedName>
    <definedName name="pld" localSheetId="0">#REF!</definedName>
    <definedName name="pld">#REF!</definedName>
    <definedName name="pldec">'[21]December 06'!$A$5:$D$89</definedName>
    <definedName name="plf">[38]FEb!$A$4:$C$149</definedName>
    <definedName name="plfeb">[23]Feb!$A$4:$C$73</definedName>
    <definedName name="plmarch">[23]MarchSL904!$A$5:$C$99</definedName>
    <definedName name="plmarch07">'[23]March 110'!$A$5:$C$80</definedName>
    <definedName name="pln" localSheetId="15">#REF!</definedName>
    <definedName name="pln" localSheetId="18">#REF!</definedName>
    <definedName name="pln" localSheetId="1">#REF!</definedName>
    <definedName name="pln" localSheetId="0">#REF!</definedName>
    <definedName name="pln">#REF!</definedName>
    <definedName name="plnov" localSheetId="15">#REF!</definedName>
    <definedName name="plnov" localSheetId="18">#REF!</definedName>
    <definedName name="plnov" localSheetId="1">#REF!</definedName>
    <definedName name="plnov" localSheetId="0">#REF!</definedName>
    <definedName name="plnov">#REF!</definedName>
    <definedName name="plnov06">'[21]November 06'!$A$5:$D$87</definedName>
    <definedName name="plw" localSheetId="18">#REF!</definedName>
    <definedName name="plw" localSheetId="1">#REF!</definedName>
    <definedName name="plw" localSheetId="0">#REF!</definedName>
    <definedName name="plw">#REF!</definedName>
    <definedName name="po" localSheetId="15">[39]BSDOMOVS!#REF!</definedName>
    <definedName name="po" localSheetId="18">[39]BSDOMOVS!#REF!</definedName>
    <definedName name="po" localSheetId="1">[39]BSDOMOVS!#REF!</definedName>
    <definedName name="po" localSheetId="0">[39]BSDOMOVS!#REF!</definedName>
    <definedName name="po" localSheetId="13">[39]BSDOMOVS!#REF!</definedName>
    <definedName name="po">[39]BSDOMOVS!#REF!</definedName>
    <definedName name="PP" localSheetId="18">#REF!</definedName>
    <definedName name="PP" localSheetId="1">#REF!</definedName>
    <definedName name="PP" localSheetId="0">#REF!</definedName>
    <definedName name="PP" localSheetId="13">#REF!</definedName>
    <definedName name="PP">#REF!</definedName>
    <definedName name="_xlnm.Print_Area" localSheetId="15">'1'!$A$1:$L$68</definedName>
    <definedName name="_xlnm.Print_Area" localSheetId="17">'2'!$A$1:$M$54</definedName>
    <definedName name="_xlnm.Print_Area" localSheetId="18">'3'!$A$1:$S$91</definedName>
    <definedName name="_xlnm.Print_Area" localSheetId="3">BS!$A$1:$P$58</definedName>
    <definedName name="_xlnm.Print_Area" localSheetId="11">'cash flow'!$A$1:$L$56</definedName>
    <definedName name="_xlnm.Print_Area" localSheetId="14">'cash flow working'!$A$1:$E$98</definedName>
    <definedName name="_xlnm.Print_Area" localSheetId="6">'Other Comp Income'!$A$1:$L$34</definedName>
    <definedName name="_xlnm.Print_Area" localSheetId="16">P!$B$3:$P$42</definedName>
    <definedName name="_xlnm.Print_Area" localSheetId="4">'P&amp;L'!$A$1:$N$58</definedName>
    <definedName name="_xlnm.Print_Area" localSheetId="1">'P&amp;L (2)'!$A$1:$K$51</definedName>
    <definedName name="_xlnm.Print_Area" localSheetId="0">PLS!$A$1:$J$111</definedName>
    <definedName name="_xlnm.Print_Area" localSheetId="5">'Qtr - PnL'!$A$1:$H$52</definedName>
    <definedName name="_xlnm.Print_Area" localSheetId="10">'Qtr - UHF'!$A$1:$H$46</definedName>
    <definedName name="_xlnm.Print_Area" localSheetId="12">'Qtr -cashflow'!$A$1:$E$57</definedName>
    <definedName name="_xlnm.Print_Area" localSheetId="13">[10]Sheet4!$A$421:$Q$523</definedName>
    <definedName name="_xlnm.Print_Area" localSheetId="9">UHF!$A$1:$M$51</definedName>
    <definedName name="_xlnm.Print_Area">#REF!</definedName>
    <definedName name="PRINT_AREA_MI">[3]Sheet4!$A$421:$Q$523</definedName>
    <definedName name="_xlnm.Print_Titles" localSheetId="14">'cash flow working'!$1:$3</definedName>
    <definedName name="PROFIT1" localSheetId="18">#REF!</definedName>
    <definedName name="PROFIT1" localSheetId="1">#REF!</definedName>
    <definedName name="PROFIT1" localSheetId="0">#REF!</definedName>
    <definedName name="PROFIT1" localSheetId="13">#REF!</definedName>
    <definedName name="PROFIT1">#REF!</definedName>
    <definedName name="PROFIT2" localSheetId="18">#REF!</definedName>
    <definedName name="PROFIT2" localSheetId="1">#REF!</definedName>
    <definedName name="PROFIT2" localSheetId="0">#REF!</definedName>
    <definedName name="PROFIT2">#REF!</definedName>
    <definedName name="Q" localSheetId="18">#REF!</definedName>
    <definedName name="Q" localSheetId="1">#REF!</definedName>
    <definedName name="Q" localSheetId="0">#REF!</definedName>
    <definedName name="Q">#REF!</definedName>
    <definedName name="QATAR1">[3]Sheet4!$H$428:$H$519</definedName>
    <definedName name="QATAR2">[3]Sheet4!$U$326:$U$417</definedName>
    <definedName name="rate">'[19]rate '!$B$4:$C$31</definedName>
    <definedName name="Recover">[40]Macro1!$A$170</definedName>
    <definedName name="REDCAP" localSheetId="15">[17]acct!#REF!</definedName>
    <definedName name="REDCAP" localSheetId="18">[17]acct!#REF!</definedName>
    <definedName name="REDCAP" localSheetId="1">[17]acct!#REF!</definedName>
    <definedName name="REDCAP" localSheetId="0">[17]acct!#REF!</definedName>
    <definedName name="REDCAP">[17]acct!#REF!</definedName>
    <definedName name="RF" localSheetId="15">[17]acct!#REF!</definedName>
    <definedName name="RF" localSheetId="18">[17]acct!#REF!</definedName>
    <definedName name="RF" localSheetId="1">[17]acct!#REF!</definedName>
    <definedName name="RF" localSheetId="0">[17]acct!#REF!</definedName>
    <definedName name="RF">[17]acct!#REF!</definedName>
    <definedName name="RRRR" localSheetId="18">#REF!</definedName>
    <definedName name="RRRR" localSheetId="1">#REF!</definedName>
    <definedName name="RRRR" localSheetId="0">#REF!</definedName>
    <definedName name="RRRR" localSheetId="13">#REF!</definedName>
    <definedName name="RRRR">#REF!</definedName>
    <definedName name="S_AcctDes" localSheetId="18">#REF!</definedName>
    <definedName name="S_AcctDes" localSheetId="1">#REF!</definedName>
    <definedName name="S_AcctDes" localSheetId="0">#REF!</definedName>
    <definedName name="S_AcctDes">#REF!</definedName>
    <definedName name="S_Adjust" localSheetId="18">#REF!</definedName>
    <definedName name="S_Adjust" localSheetId="1">#REF!</definedName>
    <definedName name="S_Adjust" localSheetId="0">#REF!</definedName>
    <definedName name="S_Adjust">#REF!</definedName>
    <definedName name="S_Adjust_Data" localSheetId="18">#REF!</definedName>
    <definedName name="S_Adjust_Data" localSheetId="1">#REF!</definedName>
    <definedName name="S_Adjust_Data" localSheetId="0">#REF!</definedName>
    <definedName name="S_Adjust_Data">#REF!</definedName>
    <definedName name="S_Adjust_GT" localSheetId="18">#REF!</definedName>
    <definedName name="S_Adjust_GT" localSheetId="1">#REF!</definedName>
    <definedName name="S_Adjust_GT" localSheetId="0">#REF!</definedName>
    <definedName name="S_Adjust_GT">#REF!</definedName>
    <definedName name="S_AJE_Tot" localSheetId="18">#REF!</definedName>
    <definedName name="S_AJE_Tot" localSheetId="1">#REF!</definedName>
    <definedName name="S_AJE_Tot" localSheetId="0">#REF!</definedName>
    <definedName name="S_AJE_Tot">#REF!</definedName>
    <definedName name="S_AJE_Tot_Data" localSheetId="18">#REF!</definedName>
    <definedName name="S_AJE_Tot_Data" localSheetId="1">#REF!</definedName>
    <definedName name="S_AJE_Tot_Data" localSheetId="0">#REF!</definedName>
    <definedName name="S_AJE_Tot_Data">#REF!</definedName>
    <definedName name="S_AJE_Tot_GT" localSheetId="18">#REF!</definedName>
    <definedName name="S_AJE_Tot_GT" localSheetId="1">#REF!</definedName>
    <definedName name="S_AJE_Tot_GT" localSheetId="0">#REF!</definedName>
    <definedName name="S_AJE_Tot_GT">#REF!</definedName>
    <definedName name="S_CompNum" localSheetId="18">#REF!</definedName>
    <definedName name="S_CompNum" localSheetId="1">#REF!</definedName>
    <definedName name="S_CompNum" localSheetId="0">#REF!</definedName>
    <definedName name="S_CompNum">#REF!</definedName>
    <definedName name="S_CY_Beg" localSheetId="18">#REF!</definedName>
    <definedName name="S_CY_Beg" localSheetId="1">#REF!</definedName>
    <definedName name="S_CY_Beg" localSheetId="0">#REF!</definedName>
    <definedName name="S_CY_Beg">#REF!</definedName>
    <definedName name="S_CY_Beg_Data" localSheetId="18">#REF!</definedName>
    <definedName name="S_CY_Beg_Data" localSheetId="1">#REF!</definedName>
    <definedName name="S_CY_Beg_Data" localSheetId="0">#REF!</definedName>
    <definedName name="S_CY_Beg_Data">#REF!</definedName>
    <definedName name="S_CY_Beg_GT" localSheetId="18">#REF!</definedName>
    <definedName name="S_CY_Beg_GT" localSheetId="1">#REF!</definedName>
    <definedName name="S_CY_Beg_GT" localSheetId="0">#REF!</definedName>
    <definedName name="S_CY_Beg_GT">#REF!</definedName>
    <definedName name="S_CY_End" localSheetId="18">#REF!</definedName>
    <definedName name="S_CY_End" localSheetId="1">#REF!</definedName>
    <definedName name="S_CY_End" localSheetId="0">#REF!</definedName>
    <definedName name="S_CY_End">#REF!</definedName>
    <definedName name="S_CY_End_Data" localSheetId="18">#REF!</definedName>
    <definedName name="S_CY_End_Data" localSheetId="1">#REF!</definedName>
    <definedName name="S_CY_End_Data" localSheetId="0">#REF!</definedName>
    <definedName name="S_CY_End_Data">#REF!</definedName>
    <definedName name="S_CY_End_GT" localSheetId="18">#REF!</definedName>
    <definedName name="S_CY_End_GT" localSheetId="1">#REF!</definedName>
    <definedName name="S_CY_End_GT" localSheetId="0">#REF!</definedName>
    <definedName name="S_CY_End_GT">#REF!</definedName>
    <definedName name="S_Diff_Amt" localSheetId="18">#REF!</definedName>
    <definedName name="S_Diff_Amt" localSheetId="1">#REF!</definedName>
    <definedName name="S_Diff_Amt" localSheetId="0">#REF!</definedName>
    <definedName name="S_Diff_Amt">#REF!</definedName>
    <definedName name="S_Diff_Pct" localSheetId="18">#REF!</definedName>
    <definedName name="S_Diff_Pct" localSheetId="1">#REF!</definedName>
    <definedName name="S_Diff_Pct" localSheetId="0">#REF!</definedName>
    <definedName name="S_Diff_Pct">#REF!</definedName>
    <definedName name="S_GrpNum" localSheetId="18">#REF!</definedName>
    <definedName name="S_GrpNum" localSheetId="1">#REF!</definedName>
    <definedName name="S_GrpNum" localSheetId="0">#REF!</definedName>
    <definedName name="S_GrpNum">#REF!</definedName>
    <definedName name="S_Headings" localSheetId="18">#REF!</definedName>
    <definedName name="S_Headings" localSheetId="1">#REF!</definedName>
    <definedName name="S_Headings" localSheetId="0">#REF!</definedName>
    <definedName name="S_Headings">#REF!</definedName>
    <definedName name="S_KeyValue" localSheetId="18">#REF!</definedName>
    <definedName name="S_KeyValue" localSheetId="1">#REF!</definedName>
    <definedName name="S_KeyValue" localSheetId="0">#REF!</definedName>
    <definedName name="S_KeyValue">#REF!</definedName>
    <definedName name="S_PY_End" localSheetId="18">#REF!</definedName>
    <definedName name="S_PY_End" localSheetId="1">#REF!</definedName>
    <definedName name="S_PY_End" localSheetId="0">#REF!</definedName>
    <definedName name="S_PY_End">#REF!</definedName>
    <definedName name="S_PY_End_Data" localSheetId="18">#REF!</definedName>
    <definedName name="S_PY_End_Data" localSheetId="1">#REF!</definedName>
    <definedName name="S_PY_End_Data" localSheetId="0">#REF!</definedName>
    <definedName name="S_PY_End_Data">#REF!</definedName>
    <definedName name="S_PY_End_GT" localSheetId="18">#REF!</definedName>
    <definedName name="S_PY_End_GT" localSheetId="1">#REF!</definedName>
    <definedName name="S_PY_End_GT" localSheetId="0">#REF!</definedName>
    <definedName name="S_PY_End_GT">#REF!</definedName>
    <definedName name="S_RJE_Tot" localSheetId="18">#REF!</definedName>
    <definedName name="S_RJE_Tot" localSheetId="1">#REF!</definedName>
    <definedName name="S_RJE_Tot" localSheetId="0">#REF!</definedName>
    <definedName name="S_RJE_Tot">#REF!</definedName>
    <definedName name="S_RJE_Tot_Data" localSheetId="18">#REF!</definedName>
    <definedName name="S_RJE_Tot_Data" localSheetId="1">#REF!</definedName>
    <definedName name="S_RJE_Tot_Data" localSheetId="0">#REF!</definedName>
    <definedName name="S_RJE_Tot_Data">#REF!</definedName>
    <definedName name="S_RJE_Tot_GT" localSheetId="18">#REF!</definedName>
    <definedName name="S_RJE_Tot_GT" localSheetId="1">#REF!</definedName>
    <definedName name="S_RJE_Tot_GT" localSheetId="0">#REF!</definedName>
    <definedName name="S_RJE_Tot_GT">#REF!</definedName>
    <definedName name="S_RowNum" localSheetId="18">#REF!</definedName>
    <definedName name="S_RowNum" localSheetId="1">#REF!</definedName>
    <definedName name="S_RowNum" localSheetId="0">#REF!</definedName>
    <definedName name="S_RowNum">#REF!</definedName>
    <definedName name="sa">[41]Sheet4!$A$421:$Q$523</definedName>
    <definedName name="sad" localSheetId="13" hidden="1">{"'CALL MONEY'!$K$53"}</definedName>
    <definedName name="sad" hidden="1">{"'CALL MONEY'!$K$53"}</definedName>
    <definedName name="SALES" localSheetId="15">[17]acct!#REF!</definedName>
    <definedName name="SALES" localSheetId="18">[17]acct!#REF!</definedName>
    <definedName name="SALES" localSheetId="1">[17]acct!#REF!</definedName>
    <definedName name="SALES" localSheetId="0">[17]acct!#REF!</definedName>
    <definedName name="SALES" localSheetId="13">[17]acct!#REF!</definedName>
    <definedName name="SALES">[17]acct!#REF!</definedName>
    <definedName name="sam" localSheetId="18">#REF!</definedName>
    <definedName name="sam" localSheetId="1">#REF!</definedName>
    <definedName name="sam" localSheetId="0">#REF!</definedName>
    <definedName name="sam" localSheetId="13">#REF!</definedName>
    <definedName name="sam">#REF!</definedName>
    <definedName name="SBP" localSheetId="15">'[42]Notes1-5'!#REF!</definedName>
    <definedName name="SBP" localSheetId="18">'[42]Notes1-5'!#REF!</definedName>
    <definedName name="SBP" localSheetId="1">'[42]Notes1-5'!#REF!</definedName>
    <definedName name="SBP" localSheetId="0">'[42]Notes1-5'!#REF!</definedName>
    <definedName name="SBP" localSheetId="13">'[42]Notes1-5'!#REF!</definedName>
    <definedName name="SBP">'[42]Notes1-5'!#REF!</definedName>
    <definedName name="sdsa">[43]A!$AX$5:$AX$129</definedName>
    <definedName name="sectionNames" localSheetId="18">#REF!</definedName>
    <definedName name="sectionNames" localSheetId="1">#REF!</definedName>
    <definedName name="sectionNames" localSheetId="0">#REF!</definedName>
    <definedName name="sectionNames" localSheetId="13">#REF!</definedName>
    <definedName name="sectionNames">#REF!</definedName>
    <definedName name="shehzad" localSheetId="15">[44]Sheet2!#REF!</definedName>
    <definedName name="shehzad" localSheetId="18">[44]Sheet2!#REF!</definedName>
    <definedName name="shehzad" localSheetId="1">[44]Sheet2!#REF!</definedName>
    <definedName name="shehzad" localSheetId="0">[44]Sheet2!#REF!</definedName>
    <definedName name="shehzad" localSheetId="13">[44]Sheet2!#REF!</definedName>
    <definedName name="shehzad">[44]Sheet2!#REF!</definedName>
    <definedName name="shortterm" localSheetId="15">#REF!</definedName>
    <definedName name="shortterm" localSheetId="18">#REF!</definedName>
    <definedName name="shortterm" localSheetId="1">#REF!</definedName>
    <definedName name="shortterm" localSheetId="0">#REF!</definedName>
    <definedName name="shortterm">#REF!</definedName>
    <definedName name="sma">[10]Sheet4!$A$421:$Q$523</definedName>
    <definedName name="SNS" localSheetId="15">[17]acct!#REF!</definedName>
    <definedName name="SNS" localSheetId="18">[17]acct!#REF!</definedName>
    <definedName name="SNS" localSheetId="1">[17]acct!#REF!</definedName>
    <definedName name="SNS" localSheetId="0">[17]acct!#REF!</definedName>
    <definedName name="SNS" localSheetId="13">[17]acct!#REF!</definedName>
    <definedName name="SNS">[17]acct!#REF!</definedName>
    <definedName name="SR" localSheetId="15">#REF!</definedName>
    <definedName name="SR" localSheetId="18">#REF!</definedName>
    <definedName name="SR" localSheetId="1">#REF!</definedName>
    <definedName name="SR" localSheetId="0">#REF!</definedName>
    <definedName name="SR">#REF!</definedName>
    <definedName name="STT" localSheetId="15" hidden="1">#REF!</definedName>
    <definedName name="STT" localSheetId="18" hidden="1">#REF!</definedName>
    <definedName name="STT" localSheetId="1" hidden="1">#REF!</definedName>
    <definedName name="STT" localSheetId="0" hidden="1">#REF!</definedName>
    <definedName name="STT" hidden="1">#REF!</definedName>
    <definedName name="sum" localSheetId="18">#REF!</definedName>
    <definedName name="sum" localSheetId="1">#REF!</definedName>
    <definedName name="sum" localSheetId="0">#REF!</definedName>
    <definedName name="sum">#REF!</definedName>
    <definedName name="T_BILLREPO" localSheetId="15">'[45]T-BILL'!#REF!</definedName>
    <definedName name="T_BILLREPO" localSheetId="18">'[45]T-BILL'!#REF!</definedName>
    <definedName name="T_BILLREPO" localSheetId="1">'[45]T-BILL'!#REF!</definedName>
    <definedName name="T_BILLREPO" localSheetId="0">'[45]T-BILL'!#REF!</definedName>
    <definedName name="T_BILLREPO" localSheetId="13">'[45]T-BILL'!#REF!</definedName>
    <definedName name="T_BILLREPO">'[45]T-BILL'!#REF!</definedName>
    <definedName name="TableName">"Dummy"</definedName>
    <definedName name="talha" localSheetId="6" hidden="1">{"'CALL MONEY'!$K$53"}</definedName>
    <definedName name="talha" localSheetId="13" hidden="1">{"'CALL MONEY'!$K$53"}</definedName>
    <definedName name="talha" localSheetId="9" hidden="1">{"'CALL MONEY'!$K$53"}</definedName>
    <definedName name="talha" hidden="1">{"'CALL MONEY'!$K$53"}</definedName>
    <definedName name="tAX" localSheetId="15">[17]acct!#REF!</definedName>
    <definedName name="tAX" localSheetId="18">[17]acct!#REF!</definedName>
    <definedName name="tAX" localSheetId="1">[17]acct!#REF!</definedName>
    <definedName name="tAX" localSheetId="0">[17]acct!#REF!</definedName>
    <definedName name="tAX" localSheetId="13">[17]acct!#REF!</definedName>
    <definedName name="tAX">[17]acct!#REF!</definedName>
    <definedName name="TextRefCopy1" localSheetId="18">#REF!</definedName>
    <definedName name="TextRefCopy1" localSheetId="1">#REF!</definedName>
    <definedName name="TextRefCopy1" localSheetId="0">#REF!</definedName>
    <definedName name="TextRefCopy1" localSheetId="13">#REF!</definedName>
    <definedName name="TextRefCopy1">#REF!</definedName>
    <definedName name="TextRefCopyRangeCount" hidden="1">2</definedName>
    <definedName name="TOTAL" localSheetId="15">#REF!</definedName>
    <definedName name="TOTAL" localSheetId="18">#REF!</definedName>
    <definedName name="TOTAL" localSheetId="1">#REF!</definedName>
    <definedName name="TOTAL" localSheetId="0">#REF!</definedName>
    <definedName name="TOTAL">#REF!</definedName>
    <definedName name="TRF" localSheetId="15">'[1]last qrt2001'!#REF!</definedName>
    <definedName name="TRF" localSheetId="18">'[1]last qrt2001'!#REF!</definedName>
    <definedName name="TRF" localSheetId="1">'[1]last qrt2001'!#REF!</definedName>
    <definedName name="TRF" localSheetId="0">'[1]last qrt2001'!#REF!</definedName>
    <definedName name="TRF" localSheetId="13">'[1]last qrt2001'!#REF!</definedName>
    <definedName name="TRF">'[1]last qrt2001'!#REF!</definedName>
    <definedName name="ttt" localSheetId="15" hidden="1">#REF!</definedName>
    <definedName name="ttt" localSheetId="18" hidden="1">#REF!</definedName>
    <definedName name="ttt" localSheetId="1" hidden="1">#REF!</definedName>
    <definedName name="ttt" localSheetId="0" hidden="1">#REF!</definedName>
    <definedName name="ttt" localSheetId="13" hidden="1">#REF!</definedName>
    <definedName name="ttt" hidden="1">#REF!</definedName>
    <definedName name="uae">[19]UAE!$A$8:$G$29</definedName>
    <definedName name="ubl" localSheetId="15">#REF!</definedName>
    <definedName name="ubl" localSheetId="18">#REF!</definedName>
    <definedName name="ubl" localSheetId="1">#REF!</definedName>
    <definedName name="ubl" localSheetId="0">#REF!</definedName>
    <definedName name="ubl">#REF!</definedName>
    <definedName name="ublbs" localSheetId="15">#REF!</definedName>
    <definedName name="ublbs" localSheetId="18">#REF!</definedName>
    <definedName name="ublbs" localSheetId="1">#REF!</definedName>
    <definedName name="ublbs" localSheetId="0">#REF!</definedName>
    <definedName name="ublbs">#REF!</definedName>
    <definedName name="Units" localSheetId="18">#REF!</definedName>
    <definedName name="Units" localSheetId="1">#REF!</definedName>
    <definedName name="Units" localSheetId="0">#REF!</definedName>
    <definedName name="Units">#REF!</definedName>
    <definedName name="W" localSheetId="18">#REF!</definedName>
    <definedName name="W" localSheetId="1">#REF!</definedName>
    <definedName name="W" localSheetId="0">#REF!</definedName>
    <definedName name="W">#REF!</definedName>
    <definedName name="X" localSheetId="18">#REF!</definedName>
    <definedName name="X" localSheetId="1">#REF!</definedName>
    <definedName name="X" localSheetId="0">#REF!</definedName>
    <definedName name="X">#REF!</definedName>
    <definedName name="XX" localSheetId="15">'[1]last qrt2001'!#REF!</definedName>
    <definedName name="XX" localSheetId="18">'[1]last qrt2001'!#REF!</definedName>
    <definedName name="XX" localSheetId="1">'[1]last qrt2001'!#REF!</definedName>
    <definedName name="XX" localSheetId="0">'[1]last qrt2001'!#REF!</definedName>
    <definedName name="XX" localSheetId="13">'[1]last qrt2001'!#REF!</definedName>
    <definedName name="XX">'[1]last qrt2001'!#REF!</definedName>
    <definedName name="YCAB" localSheetId="15">#REF!</definedName>
    <definedName name="YCAB" localSheetId="18">#REF!</definedName>
    <definedName name="YCAB" localSheetId="1">#REF!</definedName>
    <definedName name="YCAB" localSheetId="0">#REF!</definedName>
    <definedName name="YCAB">#REF!</definedName>
    <definedName name="ycab1" localSheetId="15">#REF!</definedName>
    <definedName name="ycab1" localSheetId="18">#REF!</definedName>
    <definedName name="ycab1" localSheetId="1">#REF!</definedName>
    <definedName name="ycab1" localSheetId="0">#REF!</definedName>
    <definedName name="ycab1">#REF!</definedName>
    <definedName name="YEMEN1">[3]Sheet4!$L$222:$L$313</definedName>
    <definedName name="YEMEN2">[3]Sheet4!$Y$222:$Y$313</definedName>
    <definedName name="Z_84FBBE83_FF6F_4C76_A58E_D04643F715A5_.wvu.Cols" localSheetId="14" hidden="1">'cash flow working'!$B:$C,'cash flow working'!$H:$I</definedName>
    <definedName name="Z_84FBBE83_FF6F_4C76_A58E_D04643F715A5_.wvu.PrintArea" localSheetId="15" hidden="1">'1'!$A$1:$L$32</definedName>
    <definedName name="Z_84FBBE83_FF6F_4C76_A58E_D04643F715A5_.wvu.PrintArea" localSheetId="17" hidden="1">'2'!$A$3:$F$8</definedName>
    <definedName name="Z_84FBBE83_FF6F_4C76_A58E_D04643F715A5_.wvu.PrintArea" localSheetId="18" hidden="1">'3'!$A$1:$S$10</definedName>
    <definedName name="Z_84FBBE83_FF6F_4C76_A58E_D04643F715A5_.wvu.PrintArea" localSheetId="3" hidden="1">BS!$A$1:$H$58</definedName>
    <definedName name="Z_84FBBE83_FF6F_4C76_A58E_D04643F715A5_.wvu.PrintArea" localSheetId="11" hidden="1">'cash flow'!$A$1:$L$56</definedName>
    <definedName name="Z_84FBBE83_FF6F_4C76_A58E_D04643F715A5_.wvu.PrintArea" localSheetId="14" hidden="1">'cash flow working'!$A$1:$E$98</definedName>
    <definedName name="Z_84FBBE83_FF6F_4C76_A58E_D04643F715A5_.wvu.PrintArea" localSheetId="6" hidden="1">'Other Comp Income'!$A$1:$G$34</definedName>
    <definedName name="Z_84FBBE83_FF6F_4C76_A58E_D04643F715A5_.wvu.PrintArea" localSheetId="4" hidden="1">'P&amp;L'!$A$1:$H$55</definedName>
    <definedName name="Z_84FBBE83_FF6F_4C76_A58E_D04643F715A5_.wvu.PrintArea" localSheetId="1" hidden="1">'P&amp;L (2)'!$A$1:$G$81</definedName>
    <definedName name="Z_84FBBE83_FF6F_4C76_A58E_D04643F715A5_.wvu.PrintArea" localSheetId="5" hidden="1">'Qtr - PnL'!$A$1:$H$52</definedName>
    <definedName name="Z_84FBBE83_FF6F_4C76_A58E_D04643F715A5_.wvu.PrintArea" localSheetId="10" hidden="1">'Qtr - UHF'!$A$1:$H$46</definedName>
    <definedName name="Z_84FBBE83_FF6F_4C76_A58E_D04643F715A5_.wvu.PrintArea" localSheetId="12" hidden="1">'Qtr -cashflow'!$A$1:$E$57</definedName>
    <definedName name="Z_84FBBE83_FF6F_4C76_A58E_D04643F715A5_.wvu.PrintArea" localSheetId="9" hidden="1">UHF!$A$1:$G$53</definedName>
    <definedName name="Z_84FBBE83_FF6F_4C76_A58E_D04643F715A5_.wvu.PrintTitles" localSheetId="14" hidden="1">'cash flow working'!$1:$3</definedName>
    <definedName name="Z_84FBBE83_FF6F_4C76_A58E_D04643F715A5_.wvu.Rows" localSheetId="17" hidden="1">'2'!#REF!</definedName>
    <definedName name="Z_84FBBE83_FF6F_4C76_A58E_D04643F715A5_.wvu.Rows" localSheetId="18" hidden="1">'3'!#REF!</definedName>
    <definedName name="Z_84FBBE83_FF6F_4C76_A58E_D04643F715A5_.wvu.Rows" localSheetId="3" hidden="1">BS!$15:$15</definedName>
    <definedName name="Z_84FBBE83_FF6F_4C76_A58E_D04643F715A5_.wvu.Rows" localSheetId="11" hidden="1">'cash flow'!$23:$23</definedName>
    <definedName name="Z_84FBBE83_FF6F_4C76_A58E_D04643F715A5_.wvu.Rows" localSheetId="14" hidden="1">'cash flow working'!$29:$29,'cash flow working'!$32:$32</definedName>
    <definedName name="Z_84FBBE83_FF6F_4C76_A58E_D04643F715A5_.wvu.Rows" localSheetId="4" hidden="1">'P&amp;L'!$30:$30</definedName>
    <definedName name="Z_84FBBE83_FF6F_4C76_A58E_D04643F715A5_.wvu.Rows" localSheetId="1" hidden="1">'P&amp;L (2)'!$30:$30</definedName>
    <definedName name="Z_84FBBE83_FF6F_4C76_A58E_D04643F715A5_.wvu.Rows" localSheetId="12" hidden="1">'Qtr -cashflow'!$20:$20,'Qtr -cashflow'!$54:$57</definedName>
  </definedNames>
  <calcPr calcId="144525"/>
  <customWorkbookViews>
    <customWorkbookView name="Syed Ahsan Aman - Personal View" guid="{84FBBE83-FF6F-4C76-A58E-D04643F715A5}" mergeInterval="0" personalView="1" maximized="1" windowWidth="1020" windowHeight="543" tabRatio="945" activeSheetId="10"/>
  </customWorkbookViews>
</workbook>
</file>

<file path=xl/calcChain.xml><?xml version="1.0" encoding="utf-8"?>
<calcChain xmlns="http://schemas.openxmlformats.org/spreadsheetml/2006/main">
  <c r="G11" i="57" l="1"/>
  <c r="G10" i="57"/>
  <c r="G9" i="57"/>
  <c r="J32" i="33"/>
  <c r="H32" i="33"/>
  <c r="F32" i="33"/>
  <c r="H8" i="57" l="1"/>
  <c r="H11" i="57"/>
  <c r="K111" i="57"/>
  <c r="K74" i="57"/>
  <c r="K38" i="57"/>
  <c r="G81" i="57" l="1"/>
  <c r="G44" i="57"/>
  <c r="G8" i="57"/>
  <c r="G80" i="57" l="1"/>
  <c r="G43" i="57"/>
  <c r="G7" i="57"/>
  <c r="I7" i="57" l="1"/>
  <c r="H7" i="57"/>
  <c r="J7" i="57" l="1"/>
  <c r="K9" i="57"/>
  <c r="I109" i="57" l="1"/>
  <c r="I108" i="57"/>
  <c r="I107" i="57"/>
  <c r="I106" i="57"/>
  <c r="I105" i="57"/>
  <c r="I104" i="57"/>
  <c r="I103" i="57"/>
  <c r="I102" i="57"/>
  <c r="I101" i="57"/>
  <c r="I100" i="57"/>
  <c r="I99" i="57"/>
  <c r="I98" i="57"/>
  <c r="I97" i="57"/>
  <c r="I96" i="57"/>
  <c r="I95" i="57"/>
  <c r="I94" i="57"/>
  <c r="I93" i="57"/>
  <c r="I92" i="57"/>
  <c r="I91" i="57"/>
  <c r="I90" i="57"/>
  <c r="I89" i="57"/>
  <c r="I88" i="57"/>
  <c r="I87" i="57"/>
  <c r="I86" i="57"/>
  <c r="I85" i="57"/>
  <c r="I84" i="57"/>
  <c r="I83" i="57"/>
  <c r="I82" i="57"/>
  <c r="I81" i="57"/>
  <c r="I80" i="57"/>
  <c r="I79" i="57"/>
  <c r="I72" i="57"/>
  <c r="I71" i="57"/>
  <c r="I70" i="57"/>
  <c r="I69" i="57"/>
  <c r="I68" i="57"/>
  <c r="I67" i="57"/>
  <c r="I66" i="57"/>
  <c r="I65" i="57"/>
  <c r="I64" i="57"/>
  <c r="I63" i="57"/>
  <c r="I62" i="57"/>
  <c r="I61" i="57"/>
  <c r="I60" i="57"/>
  <c r="I59" i="57"/>
  <c r="I58" i="57"/>
  <c r="I57" i="57"/>
  <c r="I56" i="57"/>
  <c r="I55" i="57"/>
  <c r="I54" i="57"/>
  <c r="I53" i="57"/>
  <c r="I52" i="57"/>
  <c r="I51" i="57"/>
  <c r="I50" i="57"/>
  <c r="I49" i="57"/>
  <c r="I48" i="57"/>
  <c r="I47" i="57"/>
  <c r="I46" i="57"/>
  <c r="I45" i="57"/>
  <c r="I44" i="57"/>
  <c r="I43" i="57"/>
  <c r="I42" i="57"/>
  <c r="I36" i="57"/>
  <c r="I35" i="57"/>
  <c r="I34" i="57"/>
  <c r="I33" i="57"/>
  <c r="I32" i="57"/>
  <c r="I31" i="57"/>
  <c r="I30" i="57"/>
  <c r="I29" i="57"/>
  <c r="I28" i="57"/>
  <c r="I27" i="57"/>
  <c r="I26" i="57"/>
  <c r="I25" i="57"/>
  <c r="I24" i="57"/>
  <c r="I23" i="57"/>
  <c r="I22" i="57"/>
  <c r="I21" i="57"/>
  <c r="I20" i="57"/>
  <c r="I19" i="57"/>
  <c r="I18" i="57"/>
  <c r="I17" i="57"/>
  <c r="I16" i="57"/>
  <c r="I15" i="57"/>
  <c r="I14" i="57"/>
  <c r="I13" i="57"/>
  <c r="I12" i="57"/>
  <c r="I11" i="57"/>
  <c r="I10" i="57"/>
  <c r="I9" i="57"/>
  <c r="I8" i="57"/>
  <c r="I6" i="57"/>
  <c r="F79" i="57" l="1"/>
  <c r="C79" i="57"/>
  <c r="F42" i="57"/>
  <c r="C42" i="57"/>
  <c r="F6" i="57"/>
  <c r="C6" i="57"/>
  <c r="G79" i="57"/>
  <c r="G42" i="57"/>
  <c r="G6" i="57"/>
  <c r="J42" i="57" l="1"/>
  <c r="J79" i="57"/>
  <c r="J6" i="57"/>
  <c r="K8" i="57" l="1"/>
  <c r="K10" i="57" s="1"/>
  <c r="P6" i="57"/>
  <c r="P7" i="57" s="1"/>
  <c r="J109" i="57" l="1"/>
  <c r="G109" i="57"/>
  <c r="F109" i="57"/>
  <c r="C109" i="57"/>
  <c r="E109" i="57" s="1"/>
  <c r="J108" i="57"/>
  <c r="G108" i="57"/>
  <c r="F108" i="57"/>
  <c r="C108" i="57"/>
  <c r="E108" i="57" s="1"/>
  <c r="J107" i="57"/>
  <c r="G107" i="57"/>
  <c r="F107" i="57"/>
  <c r="C107" i="57"/>
  <c r="E107" i="57" s="1"/>
  <c r="J106" i="57"/>
  <c r="G106" i="57"/>
  <c r="F106" i="57"/>
  <c r="C106" i="57"/>
  <c r="E106" i="57" s="1"/>
  <c r="J105" i="57"/>
  <c r="G105" i="57"/>
  <c r="F105" i="57"/>
  <c r="C105" i="57"/>
  <c r="E105" i="57" s="1"/>
  <c r="J104" i="57"/>
  <c r="G104" i="57"/>
  <c r="F104" i="57"/>
  <c r="C104" i="57"/>
  <c r="E104" i="57" s="1"/>
  <c r="J103" i="57"/>
  <c r="G103" i="57"/>
  <c r="F103" i="57"/>
  <c r="C103" i="57"/>
  <c r="E103" i="57" s="1"/>
  <c r="J102" i="57"/>
  <c r="G102" i="57"/>
  <c r="F102" i="57"/>
  <c r="C102" i="57"/>
  <c r="E102" i="57" s="1"/>
  <c r="J101" i="57"/>
  <c r="G101" i="57"/>
  <c r="F101" i="57"/>
  <c r="C101" i="57"/>
  <c r="E101" i="57" s="1"/>
  <c r="J100" i="57"/>
  <c r="G100" i="57"/>
  <c r="F100" i="57"/>
  <c r="C100" i="57"/>
  <c r="E100" i="57" s="1"/>
  <c r="J99" i="57"/>
  <c r="G99" i="57"/>
  <c r="F99" i="57"/>
  <c r="C99" i="57"/>
  <c r="E99" i="57" s="1"/>
  <c r="J98" i="57"/>
  <c r="G98" i="57"/>
  <c r="F98" i="57"/>
  <c r="C98" i="57"/>
  <c r="E98" i="57" s="1"/>
  <c r="J97" i="57"/>
  <c r="G97" i="57"/>
  <c r="F97" i="57"/>
  <c r="C97" i="57"/>
  <c r="E97" i="57" s="1"/>
  <c r="J96" i="57"/>
  <c r="G96" i="57"/>
  <c r="F96" i="57"/>
  <c r="C96" i="57"/>
  <c r="E96" i="57" s="1"/>
  <c r="J95" i="57"/>
  <c r="G95" i="57"/>
  <c r="F95" i="57"/>
  <c r="C95" i="57"/>
  <c r="E95" i="57" s="1"/>
  <c r="J94" i="57"/>
  <c r="G94" i="57"/>
  <c r="F94" i="57"/>
  <c r="C94" i="57"/>
  <c r="E94" i="57" s="1"/>
  <c r="J93" i="57"/>
  <c r="G93" i="57"/>
  <c r="F93" i="57"/>
  <c r="C93" i="57"/>
  <c r="E93" i="57" s="1"/>
  <c r="J92" i="57"/>
  <c r="G92" i="57"/>
  <c r="F92" i="57"/>
  <c r="C92" i="57"/>
  <c r="E92" i="57" s="1"/>
  <c r="J91" i="57"/>
  <c r="G91" i="57"/>
  <c r="F91" i="57"/>
  <c r="C91" i="57"/>
  <c r="E91" i="57" s="1"/>
  <c r="J90" i="57"/>
  <c r="G90" i="57"/>
  <c r="F90" i="57"/>
  <c r="C90" i="57"/>
  <c r="E90" i="57" s="1"/>
  <c r="J89" i="57"/>
  <c r="G89" i="57"/>
  <c r="F89" i="57"/>
  <c r="C89" i="57"/>
  <c r="E89" i="57" s="1"/>
  <c r="J88" i="57"/>
  <c r="G88" i="57"/>
  <c r="F88" i="57"/>
  <c r="C88" i="57"/>
  <c r="E88" i="57" s="1"/>
  <c r="J87" i="57"/>
  <c r="G87" i="57"/>
  <c r="F87" i="57"/>
  <c r="C87" i="57"/>
  <c r="E87" i="57" s="1"/>
  <c r="J86" i="57"/>
  <c r="G86" i="57"/>
  <c r="F86" i="57"/>
  <c r="C86" i="57"/>
  <c r="E86" i="57" s="1"/>
  <c r="J85" i="57"/>
  <c r="G85" i="57"/>
  <c r="F85" i="57"/>
  <c r="C85" i="57"/>
  <c r="E85" i="57" s="1"/>
  <c r="J84" i="57"/>
  <c r="F84" i="57"/>
  <c r="C84" i="57"/>
  <c r="E84" i="57" s="1"/>
  <c r="J83" i="57"/>
  <c r="G83" i="57"/>
  <c r="F83" i="57"/>
  <c r="C83" i="57"/>
  <c r="E83" i="57" s="1"/>
  <c r="J82" i="57"/>
  <c r="G82" i="57"/>
  <c r="F82" i="57"/>
  <c r="C82" i="57"/>
  <c r="E82" i="57" s="1"/>
  <c r="J81" i="57"/>
  <c r="F81" i="57"/>
  <c r="C81" i="57"/>
  <c r="J80" i="57"/>
  <c r="F80" i="57"/>
  <c r="C80" i="57"/>
  <c r="A80" i="57"/>
  <c r="A81" i="57" s="1"/>
  <c r="A82" i="57" s="1"/>
  <c r="A83" i="57" s="1"/>
  <c r="A84" i="57" s="1"/>
  <c r="A85" i="57" s="1"/>
  <c r="A86" i="57" s="1"/>
  <c r="A87" i="57" s="1"/>
  <c r="A88" i="57" s="1"/>
  <c r="A89" i="57" s="1"/>
  <c r="A90" i="57" s="1"/>
  <c r="A91" i="57" s="1"/>
  <c r="A92" i="57" s="1"/>
  <c r="A93" i="57" s="1"/>
  <c r="A94" i="57" s="1"/>
  <c r="A95" i="57" s="1"/>
  <c r="A96" i="57" s="1"/>
  <c r="A97" i="57" s="1"/>
  <c r="A98" i="57" s="1"/>
  <c r="A99" i="57" s="1"/>
  <c r="A100" i="57" s="1"/>
  <c r="A101" i="57" s="1"/>
  <c r="A102" i="57" s="1"/>
  <c r="A103" i="57" s="1"/>
  <c r="A104" i="57" s="1"/>
  <c r="A105" i="57" s="1"/>
  <c r="A106" i="57" s="1"/>
  <c r="A107" i="57" s="1"/>
  <c r="A108" i="57" s="1"/>
  <c r="A109" i="57" s="1"/>
  <c r="E79" i="57"/>
  <c r="J72" i="57"/>
  <c r="G72" i="57"/>
  <c r="F72" i="57"/>
  <c r="C72" i="57"/>
  <c r="E72" i="57" s="1"/>
  <c r="J71" i="57"/>
  <c r="G71" i="57"/>
  <c r="F71" i="57"/>
  <c r="C71" i="57"/>
  <c r="E71" i="57" s="1"/>
  <c r="J70" i="57"/>
  <c r="G70" i="57"/>
  <c r="F70" i="57"/>
  <c r="C70" i="57"/>
  <c r="E70" i="57" s="1"/>
  <c r="J69" i="57"/>
  <c r="G69" i="57"/>
  <c r="F69" i="57"/>
  <c r="C69" i="57"/>
  <c r="E69" i="57" s="1"/>
  <c r="J68" i="57"/>
  <c r="G68" i="57"/>
  <c r="F68" i="57"/>
  <c r="C68" i="57"/>
  <c r="E68" i="57" s="1"/>
  <c r="J67" i="57"/>
  <c r="G67" i="57"/>
  <c r="F67" i="57"/>
  <c r="C67" i="57"/>
  <c r="E67" i="57" s="1"/>
  <c r="J66" i="57"/>
  <c r="G66" i="57"/>
  <c r="F66" i="57"/>
  <c r="C66" i="57"/>
  <c r="E66" i="57" s="1"/>
  <c r="J65" i="57"/>
  <c r="G65" i="57"/>
  <c r="F65" i="57"/>
  <c r="C65" i="57"/>
  <c r="E65" i="57" s="1"/>
  <c r="J64" i="57"/>
  <c r="G64" i="57"/>
  <c r="F64" i="57"/>
  <c r="C64" i="57"/>
  <c r="E64" i="57" s="1"/>
  <c r="J63" i="57"/>
  <c r="G63" i="57"/>
  <c r="F63" i="57"/>
  <c r="C63" i="57"/>
  <c r="E63" i="57" s="1"/>
  <c r="J62" i="57"/>
  <c r="G62" i="57"/>
  <c r="F62" i="57"/>
  <c r="C62" i="57"/>
  <c r="E62" i="57" s="1"/>
  <c r="J61" i="57"/>
  <c r="G61" i="57"/>
  <c r="F61" i="57"/>
  <c r="C61" i="57"/>
  <c r="E61" i="57" s="1"/>
  <c r="J60" i="57"/>
  <c r="G60" i="57"/>
  <c r="F60" i="57"/>
  <c r="C60" i="57"/>
  <c r="E60" i="57" s="1"/>
  <c r="J59" i="57"/>
  <c r="G59" i="57"/>
  <c r="F59" i="57"/>
  <c r="C59" i="57"/>
  <c r="E59" i="57" s="1"/>
  <c r="J58" i="57"/>
  <c r="G58" i="57"/>
  <c r="F58" i="57"/>
  <c r="C58" i="57"/>
  <c r="E58" i="57" s="1"/>
  <c r="J57" i="57"/>
  <c r="G57" i="57"/>
  <c r="F57" i="57"/>
  <c r="C57" i="57"/>
  <c r="E57" i="57" s="1"/>
  <c r="J56" i="57"/>
  <c r="G56" i="57"/>
  <c r="F56" i="57"/>
  <c r="C56" i="57"/>
  <c r="E56" i="57" s="1"/>
  <c r="J55" i="57"/>
  <c r="G55" i="57"/>
  <c r="F55" i="57"/>
  <c r="C55" i="57"/>
  <c r="E55" i="57" s="1"/>
  <c r="J54" i="57"/>
  <c r="G54" i="57"/>
  <c r="F54" i="57"/>
  <c r="C54" i="57"/>
  <c r="E54" i="57" s="1"/>
  <c r="J53" i="57"/>
  <c r="G53" i="57"/>
  <c r="F53" i="57"/>
  <c r="C53" i="57"/>
  <c r="E53" i="57" s="1"/>
  <c r="J52" i="57"/>
  <c r="G52" i="57"/>
  <c r="F52" i="57"/>
  <c r="C52" i="57"/>
  <c r="E52" i="57" s="1"/>
  <c r="J51" i="57"/>
  <c r="G51" i="57"/>
  <c r="F51" i="57"/>
  <c r="C51" i="57"/>
  <c r="E51" i="57" s="1"/>
  <c r="J50" i="57"/>
  <c r="G50" i="57"/>
  <c r="F50" i="57"/>
  <c r="C50" i="57"/>
  <c r="E50" i="57" s="1"/>
  <c r="J49" i="57"/>
  <c r="G49" i="57"/>
  <c r="F49" i="57"/>
  <c r="C49" i="57"/>
  <c r="E49" i="57" s="1"/>
  <c r="J48" i="57"/>
  <c r="G48" i="57"/>
  <c r="F48" i="57"/>
  <c r="C48" i="57"/>
  <c r="E48" i="57" s="1"/>
  <c r="J47" i="57"/>
  <c r="F47" i="57"/>
  <c r="C47" i="57"/>
  <c r="E47" i="57" s="1"/>
  <c r="J46" i="57"/>
  <c r="G46" i="57"/>
  <c r="F46" i="57"/>
  <c r="C46" i="57"/>
  <c r="E46" i="57" s="1"/>
  <c r="J45" i="57"/>
  <c r="G45" i="57"/>
  <c r="F45" i="57"/>
  <c r="C45" i="57"/>
  <c r="E45" i="57" s="1"/>
  <c r="J44" i="57"/>
  <c r="F44" i="57"/>
  <c r="C44" i="57"/>
  <c r="J43" i="57"/>
  <c r="F43" i="57"/>
  <c r="C43" i="57"/>
  <c r="D43" i="57" s="1"/>
  <c r="A43" i="57"/>
  <c r="A44" i="57" s="1"/>
  <c r="A45" i="57" s="1"/>
  <c r="A46" i="57" s="1"/>
  <c r="A47" i="57" s="1"/>
  <c r="A48" i="57" s="1"/>
  <c r="A49" i="57" s="1"/>
  <c r="A50" i="57" s="1"/>
  <c r="A51" i="57" s="1"/>
  <c r="A52" i="57" s="1"/>
  <c r="A53" i="57" s="1"/>
  <c r="A54" i="57" s="1"/>
  <c r="A55" i="57" s="1"/>
  <c r="A56" i="57" s="1"/>
  <c r="A57" i="57" s="1"/>
  <c r="A58" i="57" s="1"/>
  <c r="A59" i="57" s="1"/>
  <c r="A60" i="57" s="1"/>
  <c r="A61" i="57" s="1"/>
  <c r="A62" i="57" s="1"/>
  <c r="A63" i="57" s="1"/>
  <c r="A64" i="57" s="1"/>
  <c r="A65" i="57" s="1"/>
  <c r="A66" i="57" s="1"/>
  <c r="A67" i="57" s="1"/>
  <c r="A68" i="57" s="1"/>
  <c r="A69" i="57" s="1"/>
  <c r="A70" i="57" s="1"/>
  <c r="A71" i="57" s="1"/>
  <c r="A72" i="57" s="1"/>
  <c r="D42" i="57"/>
  <c r="J36" i="57"/>
  <c r="G36" i="57"/>
  <c r="F36" i="57"/>
  <c r="C36" i="57"/>
  <c r="E36" i="57" s="1"/>
  <c r="J35" i="57"/>
  <c r="G35" i="57"/>
  <c r="F35" i="57"/>
  <c r="C35" i="57"/>
  <c r="E35" i="57" s="1"/>
  <c r="J34" i="57"/>
  <c r="G34" i="57"/>
  <c r="F34" i="57"/>
  <c r="C34" i="57"/>
  <c r="E34" i="57" s="1"/>
  <c r="J33" i="57"/>
  <c r="G33" i="57"/>
  <c r="F33" i="57"/>
  <c r="C33" i="57"/>
  <c r="E33" i="57" s="1"/>
  <c r="J32" i="57"/>
  <c r="G32" i="57"/>
  <c r="F32" i="57"/>
  <c r="C32" i="57"/>
  <c r="E32" i="57" s="1"/>
  <c r="J31" i="57"/>
  <c r="G31" i="57"/>
  <c r="F31" i="57"/>
  <c r="C31" i="57"/>
  <c r="E31" i="57" s="1"/>
  <c r="J30" i="57"/>
  <c r="G30" i="57"/>
  <c r="F30" i="57"/>
  <c r="C30" i="57"/>
  <c r="E30" i="57" s="1"/>
  <c r="J29" i="57"/>
  <c r="G29" i="57"/>
  <c r="F29" i="57"/>
  <c r="C29" i="57"/>
  <c r="E29" i="57" s="1"/>
  <c r="J28" i="57"/>
  <c r="G28" i="57"/>
  <c r="F28" i="57"/>
  <c r="C28" i="57"/>
  <c r="E28" i="57" s="1"/>
  <c r="J27" i="57"/>
  <c r="G27" i="57"/>
  <c r="F27" i="57"/>
  <c r="C27" i="57"/>
  <c r="E27" i="57" s="1"/>
  <c r="J26" i="57"/>
  <c r="G26" i="57"/>
  <c r="F26" i="57"/>
  <c r="C26" i="57"/>
  <c r="E26" i="57" s="1"/>
  <c r="J25" i="57"/>
  <c r="G25" i="57"/>
  <c r="F25" i="57"/>
  <c r="C25" i="57"/>
  <c r="E25" i="57" s="1"/>
  <c r="J24" i="57"/>
  <c r="G24" i="57"/>
  <c r="F24" i="57"/>
  <c r="C24" i="57"/>
  <c r="E24" i="57" s="1"/>
  <c r="J23" i="57"/>
  <c r="G23" i="57"/>
  <c r="F23" i="57"/>
  <c r="C23" i="57"/>
  <c r="E23" i="57" s="1"/>
  <c r="J22" i="57"/>
  <c r="G22" i="57"/>
  <c r="F22" i="57"/>
  <c r="C22" i="57"/>
  <c r="E22" i="57" s="1"/>
  <c r="J21" i="57"/>
  <c r="G21" i="57"/>
  <c r="F21" i="57"/>
  <c r="C21" i="57"/>
  <c r="E21" i="57" s="1"/>
  <c r="J20" i="57"/>
  <c r="G20" i="57"/>
  <c r="F20" i="57"/>
  <c r="C20" i="57"/>
  <c r="E20" i="57" s="1"/>
  <c r="J19" i="57"/>
  <c r="G19" i="57"/>
  <c r="F19" i="57"/>
  <c r="C19" i="57"/>
  <c r="E19" i="57" s="1"/>
  <c r="J18" i="57"/>
  <c r="G18" i="57"/>
  <c r="F18" i="57"/>
  <c r="C18" i="57"/>
  <c r="E18" i="57" s="1"/>
  <c r="J17" i="57"/>
  <c r="G17" i="57"/>
  <c r="F17" i="57"/>
  <c r="C17" i="57"/>
  <c r="E17" i="57" s="1"/>
  <c r="J16" i="57"/>
  <c r="G16" i="57"/>
  <c r="F16" i="57"/>
  <c r="C16" i="57"/>
  <c r="E16" i="57" s="1"/>
  <c r="J15" i="57"/>
  <c r="G15" i="57"/>
  <c r="F15" i="57"/>
  <c r="C15" i="57"/>
  <c r="E15" i="57" s="1"/>
  <c r="J14" i="57"/>
  <c r="G14" i="57"/>
  <c r="F14" i="57"/>
  <c r="C14" i="57"/>
  <c r="D14" i="57" s="1"/>
  <c r="J13" i="57"/>
  <c r="G13" i="57"/>
  <c r="F13" i="57"/>
  <c r="C13" i="57"/>
  <c r="E13" i="57" s="1"/>
  <c r="J12" i="57"/>
  <c r="G12" i="57"/>
  <c r="F12" i="57"/>
  <c r="C12" i="57"/>
  <c r="E12" i="57" s="1"/>
  <c r="J11" i="57"/>
  <c r="F11" i="57"/>
  <c r="C11" i="57"/>
  <c r="E11" i="57" s="1"/>
  <c r="E44" i="57" l="1"/>
  <c r="D44" i="57"/>
  <c r="E80" i="57"/>
  <c r="D80" i="57"/>
  <c r="E81" i="57"/>
  <c r="D81" i="57"/>
  <c r="D79" i="57"/>
  <c r="D82" i="57"/>
  <c r="D83" i="57"/>
  <c r="D84" i="57"/>
  <c r="D85" i="57"/>
  <c r="D86" i="57"/>
  <c r="D87" i="57"/>
  <c r="D88" i="57"/>
  <c r="D89" i="57"/>
  <c r="D90" i="57"/>
  <c r="D91" i="57"/>
  <c r="D92" i="57"/>
  <c r="D93" i="57"/>
  <c r="D94" i="57"/>
  <c r="D95" i="57"/>
  <c r="D96" i="57"/>
  <c r="D97" i="57"/>
  <c r="D98" i="57"/>
  <c r="D99" i="57"/>
  <c r="D100" i="57"/>
  <c r="D101" i="57"/>
  <c r="D102" i="57"/>
  <c r="D103" i="57"/>
  <c r="D104" i="57"/>
  <c r="D105" i="57"/>
  <c r="D106" i="57"/>
  <c r="D107" i="57"/>
  <c r="D108" i="57"/>
  <c r="D109" i="57"/>
  <c r="E42" i="57"/>
  <c r="E43"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33" i="57"/>
  <c r="D35" i="57"/>
  <c r="D29" i="57"/>
  <c r="D31" i="57"/>
  <c r="D25" i="57"/>
  <c r="D27" i="57"/>
  <c r="D11" i="57"/>
  <c r="D13" i="57"/>
  <c r="D15" i="57"/>
  <c r="D17" i="57"/>
  <c r="D19" i="57"/>
  <c r="D21" i="57"/>
  <c r="D23" i="57"/>
  <c r="E14" i="57"/>
  <c r="D12" i="57"/>
  <c r="D16" i="57"/>
  <c r="D18" i="57"/>
  <c r="D20" i="57"/>
  <c r="D22" i="57"/>
  <c r="D24" i="57"/>
  <c r="D26" i="57"/>
  <c r="D28" i="57"/>
  <c r="D30" i="57"/>
  <c r="D32" i="57"/>
  <c r="D34" i="57"/>
  <c r="D36" i="57"/>
  <c r="K80" i="57" l="1"/>
  <c r="K79" i="57"/>
  <c r="K87" i="57"/>
  <c r="K86" i="57"/>
  <c r="K85" i="57"/>
  <c r="K84" i="57"/>
  <c r="K83" i="57"/>
  <c r="K82" i="57"/>
  <c r="K81" i="57" l="1"/>
  <c r="L87" i="57" l="1"/>
  <c r="L50" i="57"/>
  <c r="L49" i="57" l="1"/>
  <c r="L48" i="57" l="1"/>
  <c r="L47" i="57"/>
  <c r="L86" i="57"/>
  <c r="L85" i="57"/>
  <c r="L84" i="57"/>
  <c r="F10" i="57" l="1"/>
  <c r="C10" i="57"/>
  <c r="D10" i="57" s="1"/>
  <c r="E10" i="57" l="1"/>
  <c r="L83" i="57" l="1"/>
  <c r="L46" i="57"/>
  <c r="F9" i="57" l="1"/>
  <c r="C9" i="57"/>
  <c r="E9" i="57" s="1"/>
  <c r="L82" i="57"/>
  <c r="L45" i="57"/>
  <c r="J10" i="57" l="1"/>
  <c r="D9" i="57"/>
  <c r="J9" i="57" l="1"/>
  <c r="F8" i="57" l="1"/>
  <c r="C8" i="57"/>
  <c r="L44" i="57"/>
  <c r="L81" i="57"/>
  <c r="E8" i="57" l="1"/>
  <c r="D8" i="57"/>
  <c r="F7" i="57" l="1"/>
  <c r="L80" i="57" l="1"/>
  <c r="L43" i="57"/>
  <c r="C7" i="57"/>
  <c r="D7" i="57" s="1"/>
  <c r="E7" i="57" l="1"/>
  <c r="L6" i="57" l="1"/>
  <c r="M6" i="57" s="1"/>
  <c r="E6" i="57"/>
  <c r="D6" i="57" l="1"/>
  <c r="M7" i="57"/>
  <c r="O7" i="57" s="1"/>
  <c r="O6" i="57"/>
  <c r="L79" i="57"/>
  <c r="L111" i="57" s="1"/>
  <c r="L42" i="57"/>
  <c r="L74" i="57" s="1"/>
  <c r="G111" i="57"/>
  <c r="F74" i="57"/>
  <c r="H27" i="33" s="1"/>
  <c r="G74" i="57"/>
  <c r="C74" i="57"/>
  <c r="A7" i="57"/>
  <c r="A8" i="57" s="1"/>
  <c r="A9" i="57" s="1"/>
  <c r="A10" i="57" s="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G38" i="57"/>
  <c r="F38" i="57"/>
  <c r="F27" i="33" s="1"/>
  <c r="C38" i="57"/>
  <c r="F24" i="33" s="1"/>
  <c r="H24" i="33" l="1"/>
  <c r="J28" i="33"/>
  <c r="H28" i="33"/>
  <c r="F28" i="33"/>
  <c r="J8" i="57"/>
  <c r="J74" i="57"/>
  <c r="H14" i="33" s="1"/>
  <c r="J111" i="57"/>
  <c r="K112" i="57" s="1"/>
  <c r="E74" i="57"/>
  <c r="H26" i="33" s="1"/>
  <c r="D74" i="57"/>
  <c r="H25" i="33" s="1"/>
  <c r="D38" i="57"/>
  <c r="F25" i="33" s="1"/>
  <c r="E38" i="57"/>
  <c r="F26" i="33" s="1"/>
  <c r="K75" i="57" l="1"/>
  <c r="L75" i="57"/>
  <c r="J14" i="33"/>
  <c r="L112" i="57"/>
  <c r="M6" i="33" l="1"/>
  <c r="M5" i="33" l="1"/>
  <c r="N6" i="33" s="1"/>
  <c r="N7" i="33" s="1"/>
  <c r="H17" i="33"/>
  <c r="H21" i="33" s="1"/>
  <c r="J17" i="33" l="1"/>
  <c r="J21" i="33" s="1"/>
  <c r="N58" i="33" l="1"/>
  <c r="N54" i="33"/>
  <c r="N53" i="33"/>
  <c r="N52" i="33"/>
  <c r="N51" i="33"/>
  <c r="N49" i="33"/>
  <c r="N48" i="33"/>
  <c r="N47" i="33"/>
  <c r="N45" i="33"/>
  <c r="N43" i="33"/>
  <c r="N42" i="33"/>
  <c r="N41" i="33"/>
  <c r="N39" i="33"/>
  <c r="N22" i="33"/>
  <c r="N19" i="33"/>
  <c r="N18" i="33"/>
  <c r="E34" i="33" l="1"/>
  <c r="N34" i="33" l="1"/>
  <c r="D42" i="27" l="1"/>
  <c r="D58" i="27"/>
  <c r="D19" i="27"/>
  <c r="C30" i="33" l="1"/>
  <c r="E6" i="33" l="1"/>
  <c r="E30" i="33"/>
  <c r="C6" i="33"/>
  <c r="N30" i="33" l="1"/>
  <c r="C59" i="33"/>
  <c r="E59" i="33" s="1"/>
  <c r="I64" i="33" s="1"/>
  <c r="C43" i="33"/>
  <c r="K72" i="33"/>
  <c r="N59" i="33" l="1"/>
  <c r="H59" i="33"/>
  <c r="C31" i="33"/>
  <c r="E31" i="33" s="1"/>
  <c r="C27" i="33"/>
  <c r="E27" i="33" s="1"/>
  <c r="C26" i="33"/>
  <c r="E26" i="33" s="1"/>
  <c r="C28" i="33"/>
  <c r="E28" i="33" s="1"/>
  <c r="C29" i="33"/>
  <c r="E29" i="33" s="1"/>
  <c r="C24" i="33"/>
  <c r="E24" i="33" s="1"/>
  <c r="C16" i="33"/>
  <c r="E16" i="33" s="1"/>
  <c r="C15" i="33"/>
  <c r="E15" i="33" s="1"/>
  <c r="C13" i="33"/>
  <c r="C11" i="33"/>
  <c r="C37" i="33"/>
  <c r="E37" i="33" s="1"/>
  <c r="C35" i="33"/>
  <c r="E35" i="33" s="1"/>
  <c r="C32" i="33"/>
  <c r="E32" i="33" s="1"/>
  <c r="C25" i="33"/>
  <c r="E25" i="33" s="1"/>
  <c r="C23" i="33"/>
  <c r="E23" i="33" s="1"/>
  <c r="C20" i="33"/>
  <c r="C14" i="33"/>
  <c r="E14" i="33" s="1"/>
  <c r="C12" i="33"/>
  <c r="E12" i="33" s="1"/>
  <c r="C44" i="33"/>
  <c r="C36" i="33"/>
  <c r="E36" i="33" s="1"/>
  <c r="C33" i="33"/>
  <c r="E33" i="33" s="1"/>
  <c r="E44" i="33" l="1"/>
  <c r="N44" i="33" s="1"/>
  <c r="E20" i="33"/>
  <c r="I70" i="33"/>
  <c r="J70" i="33"/>
  <c r="N14" i="33"/>
  <c r="N23" i="33"/>
  <c r="N31" i="33"/>
  <c r="N37" i="33"/>
  <c r="N15" i="33"/>
  <c r="N16" i="33"/>
  <c r="N24" i="33"/>
  <c r="N29" i="33"/>
  <c r="N28" i="33"/>
  <c r="N33" i="33"/>
  <c r="N36" i="33"/>
  <c r="N12" i="33"/>
  <c r="N25" i="33"/>
  <c r="N32" i="33"/>
  <c r="N35" i="33"/>
  <c r="N26" i="33"/>
  <c r="N27" i="33"/>
  <c r="E13" i="33"/>
  <c r="C38" i="33"/>
  <c r="E38" i="33"/>
  <c r="N38" i="33" s="1"/>
  <c r="C17" i="33"/>
  <c r="C21" i="33" s="1"/>
  <c r="E11" i="33"/>
  <c r="N11" i="33" s="1"/>
  <c r="C40" i="33" l="1"/>
  <c r="N20" i="33"/>
  <c r="K70" i="33"/>
  <c r="N13" i="33"/>
  <c r="E17" i="33"/>
  <c r="N17" i="33" s="1"/>
  <c r="D43" i="27"/>
  <c r="D44" i="27" s="1"/>
  <c r="E21" i="33" l="1"/>
  <c r="N21" i="33" s="1"/>
  <c r="I21" i="33" l="1"/>
  <c r="E40" i="33"/>
  <c r="I69" i="33" s="1"/>
  <c r="I71" i="33" l="1"/>
  <c r="K71" i="33"/>
  <c r="K73" i="33" s="1"/>
  <c r="N40" i="33"/>
  <c r="A81" i="33" l="1"/>
  <c r="A80" i="33"/>
  <c r="A76" i="33"/>
  <c r="A73" i="33"/>
  <c r="A72" i="33"/>
  <c r="A69" i="33" l="1"/>
  <c r="D85" i="27" l="1"/>
  <c r="F28" i="6" l="1"/>
  <c r="H28" i="6" s="1"/>
  <c r="D78" i="27" l="1"/>
  <c r="E17" i="15"/>
  <c r="E16" i="15"/>
  <c r="J26" i="6"/>
  <c r="J27" i="6" s="1"/>
  <c r="F27" i="6"/>
  <c r="H27" i="6" s="1"/>
  <c r="J29" i="6" l="1"/>
  <c r="J30" i="6" s="1"/>
  <c r="J32" i="6" s="1"/>
  <c r="C17" i="15" l="1"/>
  <c r="G17" i="15" s="1"/>
  <c r="C22" i="14"/>
  <c r="E22" i="14" s="1"/>
  <c r="G18" i="15" l="1"/>
  <c r="G15" i="15"/>
  <c r="G37" i="15"/>
  <c r="G36" i="15"/>
  <c r="G35" i="15"/>
  <c r="G32" i="15"/>
  <c r="G31" i="15"/>
  <c r="G30" i="15"/>
  <c r="G26" i="15"/>
  <c r="G25" i="15"/>
  <c r="G21" i="15"/>
  <c r="G22" i="15" l="1"/>
  <c r="A2" i="15"/>
  <c r="G14" i="12" l="1"/>
  <c r="D23" i="14"/>
  <c r="F15" i="10" l="1"/>
  <c r="G8" i="10" s="1"/>
  <c r="E8" i="10"/>
  <c r="A3" i="10"/>
  <c r="A1" i="10"/>
  <c r="A3" i="8"/>
  <c r="A1" i="8"/>
  <c r="G17" i="12" l="1"/>
  <c r="G38" i="6" l="1"/>
  <c r="H19" i="6"/>
  <c r="D71" i="27"/>
  <c r="D64" i="27"/>
  <c r="D63" i="27"/>
  <c r="E15" i="14"/>
  <c r="D30" i="14"/>
  <c r="D37" i="14"/>
  <c r="D45" i="14"/>
  <c r="A1" i="14"/>
  <c r="D26" i="27"/>
  <c r="G34" i="12"/>
  <c r="G36" i="12" s="1"/>
  <c r="H9" i="12" s="1"/>
  <c r="A1" i="6"/>
  <c r="G15" i="6"/>
  <c r="G20" i="6"/>
  <c r="J47" i="6"/>
  <c r="A1" i="12"/>
  <c r="D57" i="27"/>
  <c r="D52" i="27"/>
  <c r="D47" i="27"/>
  <c r="D76" i="27"/>
  <c r="D95" i="27"/>
  <c r="D91" i="27"/>
  <c r="D69" i="27"/>
  <c r="C50" i="14"/>
  <c r="F33" i="27"/>
  <c r="F48" i="27"/>
  <c r="F22" i="27"/>
  <c r="I22" i="27" s="1"/>
  <c r="F30" i="27"/>
  <c r="F20" i="27"/>
  <c r="F77" i="27"/>
  <c r="F86" i="27"/>
  <c r="F85" i="27"/>
  <c r="F79" i="27"/>
  <c r="I79" i="27" s="1"/>
  <c r="I77" i="27"/>
  <c r="I20" i="27"/>
  <c r="I21" i="27" s="1"/>
  <c r="H76" i="27"/>
  <c r="D15" i="27"/>
  <c r="H15" i="27" s="1"/>
  <c r="H14" i="27"/>
  <c r="F11" i="27"/>
  <c r="F16" i="27"/>
  <c r="F19" i="27"/>
  <c r="F101" i="27" s="1"/>
  <c r="F28" i="27"/>
  <c r="F39" i="27"/>
  <c r="F47" i="27"/>
  <c r="F102" i="27" s="1"/>
  <c r="F54" i="27"/>
  <c r="F60" i="27"/>
  <c r="F65" i="27"/>
  <c r="F73" i="27"/>
  <c r="F76" i="27"/>
  <c r="F91" i="27"/>
  <c r="F95" i="27"/>
  <c r="H31" i="27"/>
  <c r="H20" i="27"/>
  <c r="H21" i="27" s="1"/>
  <c r="E20" i="14"/>
  <c r="D21" i="27"/>
  <c r="H35" i="6"/>
  <c r="H34" i="6"/>
  <c r="H14" i="6"/>
  <c r="C26" i="14"/>
  <c r="E26" i="14" s="1"/>
  <c r="F66" i="27" l="1"/>
  <c r="E11" i="10"/>
  <c r="G11" i="10" s="1"/>
  <c r="D53" i="27"/>
  <c r="H53" i="27" s="1"/>
  <c r="H54" i="27" s="1"/>
  <c r="D86" i="27"/>
  <c r="D79" i="27"/>
  <c r="D77" i="27"/>
  <c r="F33" i="6"/>
  <c r="H33" i="6" s="1"/>
  <c r="F33" i="12"/>
  <c r="H33" i="12" s="1"/>
  <c r="D39" i="14"/>
  <c r="D48" i="14" s="1"/>
  <c r="D52" i="14" s="1"/>
  <c r="E50" i="14" s="1"/>
  <c r="F87" i="27"/>
  <c r="F97" i="27" s="1"/>
  <c r="H16" i="27"/>
  <c r="D16" i="27"/>
  <c r="F21" i="27"/>
  <c r="F23" i="27" s="1"/>
  <c r="F103" i="27"/>
  <c r="F34" i="27"/>
  <c r="F49" i="27"/>
  <c r="G22" i="6"/>
  <c r="G40" i="6" s="1"/>
  <c r="G47" i="6" s="1"/>
  <c r="G51" i="6" s="1"/>
  <c r="F15" i="8" s="1"/>
  <c r="I80" i="27"/>
  <c r="F80" i="27"/>
  <c r="F16" i="12"/>
  <c r="D102" i="27"/>
  <c r="D60" i="27"/>
  <c r="D70" i="27"/>
  <c r="D84" i="27"/>
  <c r="F13" i="12"/>
  <c r="H13" i="12" s="1"/>
  <c r="I23" i="27"/>
  <c r="D101" i="27"/>
  <c r="F104" i="27"/>
  <c r="D33" i="27"/>
  <c r="F9" i="12" l="1"/>
  <c r="F26" i="6"/>
  <c r="H26" i="6" s="1"/>
  <c r="F59" i="33"/>
  <c r="F89" i="33" s="1"/>
  <c r="D54" i="27"/>
  <c r="C35" i="14" s="1"/>
  <c r="E35" i="14" s="1"/>
  <c r="F36" i="6"/>
  <c r="H36" i="6" s="1"/>
  <c r="D72" i="27"/>
  <c r="H72" i="27" s="1"/>
  <c r="H73" i="27" s="1"/>
  <c r="C56" i="14"/>
  <c r="C19" i="14"/>
  <c r="E19" i="14" s="1"/>
  <c r="F25" i="6"/>
  <c r="H25" i="6" s="1"/>
  <c r="F10" i="6"/>
  <c r="H10" i="6" s="1"/>
  <c r="F11" i="6"/>
  <c r="H11" i="6" s="1"/>
  <c r="F12" i="6"/>
  <c r="H12" i="6" s="1"/>
  <c r="D22" i="27"/>
  <c r="H22" i="27" s="1"/>
  <c r="H23" i="27" s="1"/>
  <c r="C16" i="15"/>
  <c r="G16" i="15" s="1"/>
  <c r="F31" i="6"/>
  <c r="H31" i="6" s="1"/>
  <c r="F30" i="6"/>
  <c r="H30" i="6" s="1"/>
  <c r="F29" i="6"/>
  <c r="H29" i="6" s="1"/>
  <c r="F37" i="6"/>
  <c r="H37" i="6" s="1"/>
  <c r="D48" i="27"/>
  <c r="H48" i="27" s="1"/>
  <c r="H49" i="27" s="1"/>
  <c r="D80" i="27"/>
  <c r="G30" i="27"/>
  <c r="G31" i="27" s="1"/>
  <c r="D83" i="27"/>
  <c r="D87" i="27" s="1"/>
  <c r="D97" i="27" s="1"/>
  <c r="F11" i="12"/>
  <c r="F32" i="6"/>
  <c r="H32" i="6" s="1"/>
  <c r="F9" i="6"/>
  <c r="H16" i="12"/>
  <c r="F13" i="6"/>
  <c r="H13" i="6" s="1"/>
  <c r="D73" i="27" l="1"/>
  <c r="D38" i="27"/>
  <c r="D39" i="27" s="1"/>
  <c r="C21" i="14"/>
  <c r="E21" i="14" s="1"/>
  <c r="F25" i="12"/>
  <c r="H25" i="12" s="1"/>
  <c r="D23" i="27"/>
  <c r="D49" i="27"/>
  <c r="C38" i="14"/>
  <c r="E38" i="14" s="1"/>
  <c r="H38" i="6"/>
  <c r="J38" i="6" s="1"/>
  <c r="H11" i="12"/>
  <c r="F14" i="12"/>
  <c r="F17" i="12" s="1"/>
  <c r="C43" i="14"/>
  <c r="F38" i="6"/>
  <c r="H9" i="6"/>
  <c r="F15" i="6"/>
  <c r="C44" i="14" l="1"/>
  <c r="E44" i="14" s="1"/>
  <c r="C36" i="14"/>
  <c r="E36" i="14" s="1"/>
  <c r="D62" i="27"/>
  <c r="D65" i="27" s="1"/>
  <c r="D66" i="27" s="1"/>
  <c r="C33" i="14" s="1"/>
  <c r="C55" i="14"/>
  <c r="C57" i="14" s="1"/>
  <c r="E13" i="8"/>
  <c r="G13" i="8" s="1"/>
  <c r="C28" i="14"/>
  <c r="E28" i="14" s="1"/>
  <c r="H15" i="6"/>
  <c r="E43" i="14"/>
  <c r="H14" i="12"/>
  <c r="H17" i="12" s="1"/>
  <c r="C45" i="14" l="1"/>
  <c r="F45" i="14" s="1"/>
  <c r="D104" i="27"/>
  <c r="F23" i="12"/>
  <c r="H23" i="12" s="1"/>
  <c r="D31" i="27"/>
  <c r="F18" i="6"/>
  <c r="E45" i="14"/>
  <c r="C37" i="14"/>
  <c r="E33" i="14"/>
  <c r="D30" i="27" l="1"/>
  <c r="H18" i="6"/>
  <c r="F20" i="6"/>
  <c r="F22" i="6" s="1"/>
  <c r="F40" i="6" s="1"/>
  <c r="E37" i="14"/>
  <c r="F28" i="12" l="1"/>
  <c r="H28" i="12" s="1"/>
  <c r="H20" i="6"/>
  <c r="H22" i="6" s="1"/>
  <c r="H40" i="6" s="1"/>
  <c r="C14" i="14"/>
  <c r="E14" i="14" s="1"/>
  <c r="H30" i="27" l="1"/>
  <c r="G13" i="10" l="1"/>
  <c r="G15" i="10" s="1"/>
  <c r="G7" i="8" l="1"/>
  <c r="G15" i="8" s="1"/>
  <c r="C46" i="33" l="1"/>
  <c r="E46" i="33"/>
  <c r="N46" i="33" s="1"/>
  <c r="E50" i="33" l="1"/>
  <c r="E55" i="33" s="1"/>
  <c r="C50" i="33"/>
  <c r="I46" i="33"/>
  <c r="E60" i="33" l="1"/>
  <c r="N60" i="33" s="1"/>
  <c r="I65" i="33"/>
  <c r="E62" i="33"/>
  <c r="N55" i="33"/>
  <c r="E63" i="33"/>
  <c r="H57" i="33"/>
  <c r="H61" i="33" s="1"/>
  <c r="E57" i="33"/>
  <c r="N50" i="33"/>
  <c r="I47" i="33"/>
  <c r="I50" i="33"/>
  <c r="C57" i="33"/>
  <c r="C61" i="33" s="1"/>
  <c r="C55" i="33"/>
  <c r="I66" i="33" l="1"/>
  <c r="I67" i="33"/>
  <c r="E61" i="33"/>
  <c r="N57" i="33"/>
  <c r="N61" i="33" l="1"/>
  <c r="E68" i="33"/>
  <c r="C111" i="57" l="1"/>
  <c r="F111" i="57"/>
  <c r="J27" i="33" s="1"/>
  <c r="J24" i="33" l="1"/>
  <c r="E111" i="57"/>
  <c r="J26" i="33" s="1"/>
  <c r="D111" i="57"/>
  <c r="J25" i="33" s="1"/>
  <c r="F38" i="33"/>
  <c r="H38" i="33" l="1"/>
  <c r="H40" i="33" s="1"/>
  <c r="J38" i="33"/>
  <c r="J40" i="33" s="1"/>
  <c r="J38" i="57" l="1"/>
  <c r="L38" i="57" s="1"/>
  <c r="F14" i="33" l="1"/>
  <c r="L14" i="33" l="1"/>
  <c r="F17" i="33"/>
  <c r="F21" i="33" s="1"/>
  <c r="F40" i="33" s="1"/>
  <c r="F97" i="33" s="1"/>
  <c r="F46" i="33" l="1"/>
  <c r="F50" i="33" s="1"/>
  <c r="F57" i="33" l="1"/>
  <c r="F61" i="33" s="1"/>
  <c r="F68" i="33" s="1"/>
  <c r="F88" i="33"/>
  <c r="F90" i="33" s="1"/>
  <c r="F52" i="33"/>
  <c r="H46" i="33"/>
  <c r="H50" i="33" s="1"/>
  <c r="F91" i="33" l="1"/>
  <c r="F92" i="33" s="1"/>
  <c r="H52" i="33"/>
  <c r="J46" i="33" l="1"/>
  <c r="J50" i="33" s="1"/>
  <c r="J52" i="33" l="1"/>
  <c r="D10" i="27" l="1"/>
  <c r="H10" i="27" s="1"/>
  <c r="H11" i="27" s="1"/>
  <c r="D27" i="27"/>
  <c r="H27" i="27" s="1"/>
  <c r="H28" i="27" s="1"/>
  <c r="H34" i="27" s="1"/>
  <c r="C29" i="14"/>
  <c r="E29" i="14" s="1"/>
  <c r="D11" i="27" l="1"/>
  <c r="D103" i="27"/>
  <c r="D28" i="27"/>
  <c r="D34" i="27" s="1"/>
  <c r="C27" i="14" l="1"/>
  <c r="C30" i="14" s="1"/>
  <c r="E27" i="14" l="1"/>
  <c r="E30" i="14" s="1"/>
  <c r="F30" i="14"/>
  <c r="F20" i="12" l="1"/>
  <c r="F43" i="6"/>
  <c r="H43" i="6" s="1"/>
  <c r="C17" i="14"/>
  <c r="E17" i="14" s="1"/>
  <c r="F45" i="6" l="1"/>
  <c r="H20" i="12"/>
  <c r="H45" i="6" l="1"/>
  <c r="H47" i="6" s="1"/>
  <c r="F47" i="6"/>
  <c r="F51" i="6" s="1"/>
  <c r="F55" i="6" s="1"/>
  <c r="F55" i="33" l="1"/>
  <c r="E13" i="10"/>
  <c r="E15" i="10" s="1"/>
  <c r="C9" i="14"/>
  <c r="F30" i="12"/>
  <c r="I48" i="6"/>
  <c r="H51" i="6"/>
  <c r="E7" i="8"/>
  <c r="E15" i="8" s="1"/>
  <c r="F34" i="12" l="1"/>
  <c r="F36" i="12" s="1"/>
  <c r="H30" i="12"/>
  <c r="H34" i="12" s="1"/>
  <c r="H36" i="12" s="1"/>
  <c r="C23" i="14"/>
  <c r="E9" i="14"/>
  <c r="E23" i="14" s="1"/>
  <c r="E39" i="14" s="1"/>
  <c r="E48" i="14" s="1"/>
  <c r="E52" i="14" s="1"/>
  <c r="F23" i="14" l="1"/>
  <c r="C39" i="14"/>
  <c r="F39" i="14" l="1"/>
  <c r="C48" i="14"/>
  <c r="F48" i="14" l="1"/>
  <c r="C52" i="14"/>
  <c r="C59" i="14" s="1"/>
</calcChain>
</file>

<file path=xl/comments1.xml><?xml version="1.0" encoding="utf-8"?>
<comments xmlns="http://schemas.openxmlformats.org/spreadsheetml/2006/main">
  <authors>
    <author>Farid.ahmed</author>
  </authors>
  <commentList>
    <comment ref="F84" authorId="0">
      <text>
        <r>
          <rPr>
            <b/>
            <sz val="8"/>
            <color indexed="81"/>
            <rFont val="Tahoma"/>
            <family val="2"/>
          </rPr>
          <t>Taimur:</t>
        </r>
        <r>
          <rPr>
            <sz val="8"/>
            <color indexed="81"/>
            <rFont val="Tahoma"/>
            <family val="2"/>
          </rPr>
          <t xml:space="preserve">
Re 1 Rounding Difference</t>
        </r>
      </text>
    </comment>
    <comment ref="F97" authorId="0">
      <text>
        <r>
          <rPr>
            <b/>
            <sz val="8"/>
            <color indexed="81"/>
            <rFont val="Tahoma"/>
            <family val="2"/>
          </rPr>
          <t>Taimur:</t>
        </r>
        <r>
          <rPr>
            <sz val="8"/>
            <color indexed="81"/>
            <rFont val="Tahoma"/>
            <family val="2"/>
          </rPr>
          <t xml:space="preserve">
Re 1 Rounding</t>
        </r>
      </text>
    </comment>
  </commentList>
</comments>
</file>

<file path=xl/sharedStrings.xml><?xml version="1.0" encoding="utf-8"?>
<sst xmlns="http://schemas.openxmlformats.org/spreadsheetml/2006/main" count="787" uniqueCount="492">
  <si>
    <t>Total outstanding at the beginning of the period</t>
  </si>
  <si>
    <t>The details of significant transactions carried out by the Fund with connected persons and balances with them at period end are as follows:</t>
  </si>
  <si>
    <t>through profit or loss - net</t>
  </si>
  <si>
    <t xml:space="preserve">investments classified as financial assets at fair value </t>
  </si>
  <si>
    <t xml:space="preserve">Element of income / (loss) and capital gains / (losses) included </t>
  </si>
  <si>
    <t>in prices of units issued less those in units redeemed</t>
  </si>
  <si>
    <t>Management Company</t>
  </si>
  <si>
    <t>Impairment</t>
  </si>
  <si>
    <t>Dividend distributed during the period</t>
  </si>
  <si>
    <t>Printing and related costs</t>
  </si>
  <si>
    <t>Net income from operating activities</t>
  </si>
  <si>
    <t>Provision for Workers' Welfare Fund</t>
  </si>
  <si>
    <t>Company</t>
  </si>
  <si>
    <t>TRANSACTIONS WITH CONNECTED PERSONS</t>
  </si>
  <si>
    <t>Distribution during the period</t>
  </si>
  <si>
    <t>(Increase) / decrease in assets</t>
  </si>
  <si>
    <t>NATIONAL INVESTMENT (UNIT) TRUST</t>
  </si>
  <si>
    <t>Directors and key management personnel</t>
  </si>
  <si>
    <t>Net Assets</t>
  </si>
  <si>
    <t xml:space="preserve">remeasurement of investments classified as </t>
  </si>
  <si>
    <t>'available for sale'</t>
  </si>
  <si>
    <t>Income from government securities</t>
  </si>
  <si>
    <t>Impairment loss on equity securities classified as 'available for sale'</t>
  </si>
  <si>
    <t>Others</t>
  </si>
  <si>
    <t xml:space="preserve">investments classified as financial assets 'at fair </t>
  </si>
  <si>
    <t>value through profit or loss'-net</t>
  </si>
  <si>
    <t>less: Payable on account of redemption of units</t>
  </si>
  <si>
    <t>Net cash inflow / (outflow) from financing activities</t>
  </si>
  <si>
    <t xml:space="preserve">Net increase in cash and cash equivalents </t>
  </si>
  <si>
    <t>Net income  after taxation</t>
  </si>
  <si>
    <t>Income from Govt. Securities</t>
  </si>
  <si>
    <t>Impairment loss on equities securities classified as 'available for sale'</t>
  </si>
  <si>
    <t xml:space="preserve">Unrealized gain on letters of rights </t>
  </si>
  <si>
    <t>Impairment loss on equity securities classified as 'AFS"</t>
  </si>
  <si>
    <t>Rupees in 000'</t>
  </si>
  <si>
    <t>CONDENSED INTERIM STATEMENT OF MOVEMENT IN UNIT HOLDERS' FUND (UNAUDITED)</t>
  </si>
  <si>
    <t>Difference</t>
  </si>
  <si>
    <t>as financial assets at fair value through profit or loss - net</t>
  </si>
  <si>
    <t>Net  income / (loss) from operations</t>
  </si>
  <si>
    <t xml:space="preserve">   issued less those in units redeemed</t>
  </si>
  <si>
    <t>Income before taxation</t>
  </si>
  <si>
    <t>Income  after taxation</t>
  </si>
  <si>
    <t>Net assets at the beginning</t>
  </si>
  <si>
    <t>Issue of units</t>
  </si>
  <si>
    <t xml:space="preserve">Issue of units under Cumulative Investment Plan </t>
  </si>
  <si>
    <t>Element of (income) and capital (gains) included in prices of units</t>
  </si>
  <si>
    <t>Hidden</t>
  </si>
  <si>
    <t xml:space="preserve">issued less those in units redeemed - transferred to income statement </t>
  </si>
  <si>
    <t>Net unrealised appreciation / (diminution) in fair value of securities classified</t>
  </si>
  <si>
    <t xml:space="preserve"> as 'available for sale ' </t>
  </si>
  <si>
    <t xml:space="preserve">Unrealised diminution on remeasurement of investments classified </t>
  </si>
  <si>
    <t>as financial assets at fair value through profit or loss-net</t>
  </si>
  <si>
    <t>Other net (loss) / income for the period</t>
  </si>
  <si>
    <t>Final distribution for the period</t>
  </si>
  <si>
    <t>Rupees 000'</t>
  </si>
  <si>
    <t>Deposit with Nccpl</t>
  </si>
  <si>
    <t>Fee payable to SECP</t>
  </si>
  <si>
    <t>units redeemed</t>
  </si>
  <si>
    <t>units sold</t>
  </si>
  <si>
    <t>Opening payable to NITL</t>
  </si>
  <si>
    <t>Closing payable to NITL</t>
  </si>
  <si>
    <t>Dividend income</t>
  </si>
  <si>
    <t>Dividend paid</t>
  </si>
  <si>
    <t>Total</t>
  </si>
  <si>
    <t>Investments</t>
  </si>
  <si>
    <t>Opening balance</t>
  </si>
  <si>
    <t>Closing balance</t>
  </si>
  <si>
    <t>Net asset value per unit</t>
  </si>
  <si>
    <t>less: Payable on account of issue of units</t>
  </si>
  <si>
    <t>Increase / (decrease) in payable</t>
  </si>
  <si>
    <t>Dividend Paid</t>
  </si>
  <si>
    <t>Opening unclaimed distribution</t>
  </si>
  <si>
    <t>Issue of CIP units</t>
  </si>
  <si>
    <t>Management fee paid</t>
  </si>
  <si>
    <t>Unrealised gain on letters of rights</t>
  </si>
  <si>
    <t>Net assets at the end of the period</t>
  </si>
  <si>
    <t>BANK BALANCES</t>
  </si>
  <si>
    <t>BASIS OF PREPARATION</t>
  </si>
  <si>
    <t>NUMBER OF UNITS IN ISSUE</t>
  </si>
  <si>
    <t>Income on issue and repurchase of units</t>
  </si>
  <si>
    <t>Management participation fee</t>
  </si>
  <si>
    <t>Financial charges</t>
  </si>
  <si>
    <t>EXPENSES</t>
  </si>
  <si>
    <t xml:space="preserve">Undistributed income carried forward </t>
  </si>
  <si>
    <t xml:space="preserve">Increase / (decrease) in liabilities </t>
  </si>
  <si>
    <t>CASH FLOW FROM FINANCING ACTIVITIES</t>
  </si>
  <si>
    <t>Dividend and other receivable</t>
  </si>
  <si>
    <t>Less: provision against doubtful receivables</t>
  </si>
  <si>
    <t>Investment</t>
  </si>
  <si>
    <t>DATE OF AUTHORISATION FOR ISSUE</t>
  </si>
  <si>
    <t>INVESTMENTS</t>
  </si>
  <si>
    <t>Creditors, accrued and other liabilities</t>
  </si>
  <si>
    <t>LIABILITIES</t>
  </si>
  <si>
    <t>NET ASSETS</t>
  </si>
  <si>
    <t>INCOME</t>
  </si>
  <si>
    <t>Taxation</t>
  </si>
  <si>
    <t>CASH FLOWS FROM OPERATING ACTIVITIES</t>
  </si>
  <si>
    <t xml:space="preserve">   Managing Director                                                           Director                                                                     Director</t>
  </si>
  <si>
    <t xml:space="preserve">Adjustments: </t>
  </si>
  <si>
    <t>Management Participation fee paid</t>
  </si>
  <si>
    <t>Net cash inflow / (outflow) from operating activities</t>
  </si>
  <si>
    <t>Opening payable</t>
  </si>
  <si>
    <t>Closing payable</t>
  </si>
  <si>
    <t>Net (payments)/receipts made against repurchase of units</t>
  </si>
  <si>
    <t>Preliminary charges and handling fee</t>
  </si>
  <si>
    <t xml:space="preserve">Provision for impairment loss on other receivables </t>
  </si>
  <si>
    <t>Undistributed income brought forward</t>
  </si>
  <si>
    <t>Provision for impairment loss on other receivables</t>
  </si>
  <si>
    <t>Unrealised gain / (loss) on investment - HFT</t>
  </si>
  <si>
    <t>Printing charges</t>
  </si>
  <si>
    <t>Others-Workers' Welfare Fund</t>
  </si>
  <si>
    <t>Redemption of units</t>
  </si>
  <si>
    <t>Transactions during the period</t>
  </si>
  <si>
    <t>National Bank of Pakistan - Trustee</t>
  </si>
  <si>
    <t>Net amount received / (paid) on issue of units</t>
  </si>
  <si>
    <t>GENERAL</t>
  </si>
  <si>
    <t>Statement of compliance</t>
  </si>
  <si>
    <t>Unrealised gain / (loss) on investment -AFS</t>
  </si>
  <si>
    <t>Payable to management company</t>
  </si>
  <si>
    <t>less: Management participation fee</t>
  </si>
  <si>
    <t>CASH FLOW STATEMENT-WORKING</t>
  </si>
  <si>
    <t>Payable to selling banks</t>
  </si>
  <si>
    <t>Dividend and other receivables</t>
  </si>
  <si>
    <t>Total assets</t>
  </si>
  <si>
    <t>Total liabilities</t>
  </si>
  <si>
    <t>Number of units in issue</t>
  </si>
  <si>
    <t>Other comprehensive income</t>
  </si>
  <si>
    <t>less: Management participation fee payable</t>
  </si>
  <si>
    <t>Other payables</t>
  </si>
  <si>
    <t>CONDENSED INTERIM STATEMENT OF COMPREHENSIVE INCOME (UNAUDITED)</t>
  </si>
  <si>
    <t>CONDENSED INTERIM DISTRIBUTION STATEMENT (UNAUDITED)</t>
  </si>
  <si>
    <t>CASH FLOWS FROM FINANCING ACTIVITIES</t>
  </si>
  <si>
    <t>CONDENSED INTERIM INCOME STATEMENT</t>
  </si>
  <si>
    <t>CONDENSED INTERIM CASH FLOW STATEMENT</t>
  </si>
  <si>
    <t>Bank balances</t>
  </si>
  <si>
    <t>Profit on bank deposits</t>
  </si>
  <si>
    <t>Other income</t>
  </si>
  <si>
    <t>Receivable from Selling Banks</t>
  </si>
  <si>
    <t>Short-term finances</t>
  </si>
  <si>
    <t xml:space="preserve">Legal and professional charges </t>
  </si>
  <si>
    <t>LEGAL STATUS AND NATURE OF BUSINESS</t>
  </si>
  <si>
    <t>(Unaudited)</t>
  </si>
  <si>
    <t>(Audited)</t>
  </si>
  <si>
    <t>Net assets at the beginning of the period</t>
  </si>
  <si>
    <t>Cash and cash equivalents at the beginning of the period</t>
  </si>
  <si>
    <t>Cash and cash equivalents as at the end of the period</t>
  </si>
  <si>
    <t>Securities transaction costs</t>
  </si>
  <si>
    <t>Note</t>
  </si>
  <si>
    <t>ASSETS</t>
  </si>
  <si>
    <t>Custodian charges of Central Depository Company of Pakistan Limited</t>
  </si>
  <si>
    <t>National Investment Trust Limited Provident Fund</t>
  </si>
  <si>
    <t>National Investment Trust Limited Pension Fund</t>
  </si>
  <si>
    <t xml:space="preserve">Payable to National Investment Trust Limited </t>
  </si>
  <si>
    <t xml:space="preserve">Fee payable to Securities and Exchange Commission </t>
  </si>
  <si>
    <t>of Pakistan</t>
  </si>
  <si>
    <t>Capital gains</t>
  </si>
  <si>
    <t>Settlement and bank charges</t>
  </si>
  <si>
    <t>Annual fee - Securities and Exchange Commission of Pakistan</t>
  </si>
  <si>
    <t>Market value of investments</t>
  </si>
  <si>
    <t xml:space="preserve">Element of (income) / loss and capital (gains) / losses included </t>
  </si>
  <si>
    <t xml:space="preserve">Receivable from National Investment Trust Limited - </t>
  </si>
  <si>
    <t xml:space="preserve">Payable to National Investment Trust Limited - Management </t>
  </si>
  <si>
    <t xml:space="preserve">Fee payable to Securities and Exchange Commission of </t>
  </si>
  <si>
    <t>Pakistan</t>
  </si>
  <si>
    <t>during the period</t>
  </si>
  <si>
    <t>FOR THE HALF YEAR AND QUARTER ENDED DECEMBER 31, 2011</t>
  </si>
  <si>
    <t>Receivable against sale of investments</t>
  </si>
  <si>
    <t>Nil units issued (2010: Nil units)</t>
  </si>
  <si>
    <t>(2010: 47,455 units)</t>
  </si>
  <si>
    <t xml:space="preserve">61,858 units issued under CIP </t>
  </si>
  <si>
    <t>Receivable against sale of investment</t>
  </si>
  <si>
    <t>-------------------Rupees in '000-------------------</t>
  </si>
  <si>
    <t>Rupees in '000</t>
  </si>
  <si>
    <t>Income</t>
  </si>
  <si>
    <t>Net (increase) / decrease in market value of investments</t>
  </si>
  <si>
    <t>RELATED PARTY QUARTER WORKING</t>
  </si>
  <si>
    <t>For the half year ended December 31, 2011</t>
  </si>
  <si>
    <t>Quarter ended September 30, 2011</t>
  </si>
  <si>
    <t>Quarter ended December 31, 2011</t>
  </si>
  <si>
    <t>A</t>
  </si>
  <si>
    <t>B</t>
  </si>
  <si>
    <t>C=A-B</t>
  </si>
  <si>
    <t>National Investment Trust Limited - Management</t>
  </si>
  <si>
    <t>Sale of shares</t>
  </si>
  <si>
    <t>Purchase of 295,169 shares (Sep2011: 175,000 shares)</t>
  </si>
  <si>
    <t>7,490 units issued under CIP (2010:4,634 units)</t>
  </si>
  <si>
    <t>39,451 units issued under CIP (2010: 21.966 units)</t>
  </si>
  <si>
    <t>6,355,488 CIP units issued (2010: 3,566,755 units)</t>
  </si>
  <si>
    <t>--------------------------Rs in '000-------------------------</t>
  </si>
  <si>
    <t>Mgt fee for the year</t>
  </si>
  <si>
    <t>Net income for the period after taxation</t>
  </si>
  <si>
    <t xml:space="preserve">Unrealised (diminution) / appreciation on remeasurement of </t>
  </si>
  <si>
    <t xml:space="preserve">Net unrealised (diminution) / appreciation on </t>
  </si>
  <si>
    <t xml:space="preserve">Unrealised appreciation on remeasurement of </t>
  </si>
  <si>
    <t>Audited</t>
  </si>
  <si>
    <t>Quarter Working</t>
  </si>
  <si>
    <t>Total comprehensive (loss) / income for the period</t>
  </si>
  <si>
    <t xml:space="preserve">Net income for the period after taxation </t>
  </si>
  <si>
    <t>Net (payments) / receipts made against (redemption) / sales of units</t>
  </si>
  <si>
    <t>Sindh Sales Tax on Management Fee</t>
  </si>
  <si>
    <t>----------------------------Rupees in '000---------------------------</t>
  </si>
  <si>
    <t>Sindh sales tax on remuneration of Management Company</t>
  </si>
  <si>
    <t>Payable against purchase of investments</t>
  </si>
  <si>
    <t>Sale tax payable</t>
  </si>
  <si>
    <t>QTR MAR</t>
  </si>
  <si>
    <t>HA 2012</t>
  </si>
  <si>
    <t>Quater Ended March 31' 2013</t>
  </si>
  <si>
    <t>done</t>
  </si>
  <si>
    <t>Half Year Ended December 31' 2012</t>
  </si>
  <si>
    <t>Unrealised (diminution)/appreciation on remeasurement of investments classified</t>
  </si>
  <si>
    <t xml:space="preserve">Final distribution for the year ended June 30, 2012: Rs 3.50 </t>
  </si>
  <si>
    <t>per unit (2011: Rs. 4 per unit)</t>
  </si>
  <si>
    <t>FOR THE HALF YEAR AND QUARTER ENDED DECEMBER 31, 2012</t>
  </si>
  <si>
    <t>Net payments made against sales of units</t>
  </si>
  <si>
    <t xml:space="preserve">Unrealised appreciation / (diminution) on remeasurement of </t>
  </si>
  <si>
    <t>TOTAL</t>
  </si>
  <si>
    <t xml:space="preserve">  </t>
  </si>
  <si>
    <t>Net income /(Loss) for the period before taxation</t>
  </si>
  <si>
    <t>Net income /(Loss)  for the period after taxation</t>
  </si>
  <si>
    <t>Earning / (Loss) per unit</t>
  </si>
  <si>
    <t>FOR THE NINE MONTHS AND QUARTER ENDED MARCH 31, 2014</t>
  </si>
  <si>
    <t>Quater Ended March 31' 2014</t>
  </si>
  <si>
    <t>Half Year Ended December 31' 2013</t>
  </si>
  <si>
    <t>FED</t>
  </si>
  <si>
    <t>CDC</t>
  </si>
  <si>
    <t>On account of:</t>
  </si>
  <si>
    <t>Federal Excise Duty on Management Company Remunaration</t>
  </si>
  <si>
    <t>Net cash flow generated from operating activities</t>
  </si>
  <si>
    <t>Net cash flow used in financing activities</t>
  </si>
  <si>
    <t xml:space="preserve">Net (decrease) in cash and cash equivalents </t>
  </si>
  <si>
    <t>Remunaration of National Investment Trust Limited -Management Company</t>
  </si>
  <si>
    <t>--- Rupees ---</t>
  </si>
  <si>
    <t xml:space="preserve">INCOME STATEMENT </t>
  </si>
  <si>
    <t>Trustee Fee- Central Depository Company of Pakistan Limited</t>
  </si>
  <si>
    <t>Legal &amp; Professional Charges</t>
  </si>
  <si>
    <t>Payable to Central Depository Company of Pakistan Limited - Trustee</t>
  </si>
  <si>
    <t>Figures have been rounded off to the nearest thousand rupees unless otherwise specified.</t>
  </si>
  <si>
    <t xml:space="preserve">Auditors' remuneration </t>
  </si>
  <si>
    <t>Bal</t>
  </si>
  <si>
    <t>Legal &amp; Prefessional Charges</t>
  </si>
  <si>
    <t xml:space="preserve">Rupees </t>
  </si>
  <si>
    <t>QTR ended SEP' 2014</t>
  </si>
  <si>
    <t>Payable to Central Depository Company of Pakistan Limited-Trustee</t>
  </si>
  <si>
    <t>This condensed interim financial information is being submitted to the unit holders as required under regulation 38(g) of the Non-Banking Finance Companies and Notified Entities Regulations, 2008 (NBFC Regulations).</t>
  </si>
  <si>
    <t>.</t>
  </si>
  <si>
    <t>The disclosures made in these condensed interim financial statements have, however, been limited based on the requirements of the International Accounting Standard 34: "Interim Financial Reporting".</t>
  </si>
  <si>
    <t>Profit on deposit accounts</t>
  </si>
  <si>
    <t>DIVIDEND &amp; PROFIT RECEIVABLES</t>
  </si>
  <si>
    <t>Dividend Receivable</t>
  </si>
  <si>
    <t>Receivable against subscription of shares</t>
  </si>
  <si>
    <t>CONDENSED INTERIM STATEMENT OF ASSETS AND LIABILITIES</t>
  </si>
  <si>
    <t xml:space="preserve">CONDENSED INTERIM INCOME STATEMENT </t>
  </si>
  <si>
    <t xml:space="preserve">CONDENSED INTERIM STATEMENT OF COMPREHENSIVE INCOME </t>
  </si>
  <si>
    <t xml:space="preserve">CONDENDSED INTERIM STATEMENT OF MOVEMENT IN UNIT HOLDERS' FUND </t>
  </si>
  <si>
    <t xml:space="preserve">CONDENSED INTERIM CASH FLOW STATEMENT </t>
  </si>
  <si>
    <t xml:space="preserve">NOTES TO AND FORMING PART OF THE CONDENSED INTERIM FINANCIAL INFORMATION </t>
  </si>
  <si>
    <t>Dividend and profit receivables</t>
  </si>
  <si>
    <t>SECP Registration Fee</t>
  </si>
  <si>
    <t>Net income without Capital Gains</t>
  </si>
  <si>
    <t xml:space="preserve">EPU without Unrealized Gains </t>
  </si>
  <si>
    <t xml:space="preserve">EPU without Realized Capital Gains </t>
  </si>
  <si>
    <t xml:space="preserve">EPU with Realized &amp; Unrealized Capital Gains </t>
  </si>
  <si>
    <t>EPU without Realized Capital Gains &amp; Unrealized Gains</t>
  </si>
  <si>
    <t>NIT ISLAMIC EQUITY FUND</t>
  </si>
  <si>
    <t>Net Asset Reconciliation</t>
  </si>
  <si>
    <t>Amortization of Formation Cost</t>
  </si>
  <si>
    <t>NIT Islamic PENSION FUND</t>
  </si>
  <si>
    <t>NIT ISLAMIC PENSION FUND</t>
  </si>
  <si>
    <t>NIT IPF Equity Sub Fund</t>
  </si>
  <si>
    <t>NIT IPF Debt Sub Fund</t>
  </si>
  <si>
    <t>NIT IPF Money Market Sub Fund</t>
  </si>
  <si>
    <t>MF</t>
  </si>
  <si>
    <t>GST</t>
  </si>
  <si>
    <t>TF</t>
  </si>
  <si>
    <t>SECP</t>
  </si>
  <si>
    <t>DEPOSITS</t>
  </si>
  <si>
    <t>PURCHASES</t>
  </si>
  <si>
    <t>transfer</t>
  </si>
  <si>
    <t>Investment in Equity Securities</t>
  </si>
  <si>
    <t>Investment in Equity Reverse Repo</t>
  </si>
  <si>
    <t>Investment in Debt Securities</t>
  </si>
  <si>
    <t>Investment in Government Securities</t>
  </si>
  <si>
    <t>Investment in Money Market Securities</t>
  </si>
  <si>
    <t>Investment in Future Securities</t>
  </si>
  <si>
    <t>Markup on Debt Securities</t>
  </si>
  <si>
    <t>Income from MM securities</t>
  </si>
  <si>
    <t>Payable against Purchase of investments</t>
  </si>
  <si>
    <t>---------------------------------Rupees---------------------------------</t>
  </si>
  <si>
    <t>OIL AND GAS MARKETING COMPANIES</t>
  </si>
  <si>
    <t>PPL</t>
  </si>
  <si>
    <t>PSO</t>
  </si>
  <si>
    <t>FERTILIZER</t>
  </si>
  <si>
    <t>EFERT</t>
  </si>
  <si>
    <t>ENGRO</t>
  </si>
  <si>
    <t>FFBL</t>
  </si>
  <si>
    <t>FFC</t>
  </si>
  <si>
    <t>CEMENT</t>
  </si>
  <si>
    <t>FCCL</t>
  </si>
  <si>
    <t>LUCK</t>
  </si>
  <si>
    <t>FOOD &amp; PERSONAL CARE PRODUCERS</t>
  </si>
  <si>
    <t>EFOODS</t>
  </si>
  <si>
    <t>PHARMACEUTICALS</t>
  </si>
  <si>
    <t>ABOT</t>
  </si>
  <si>
    <t>FEROZ</t>
  </si>
  <si>
    <t>SEARL</t>
  </si>
  <si>
    <t>POWER GENERATIN &amp; DISTRIBUTION</t>
  </si>
  <si>
    <t>HUBC</t>
  </si>
  <si>
    <t>KAPCO</t>
  </si>
  <si>
    <t>AUTOMOBILE ASSEMBLER</t>
  </si>
  <si>
    <t>HCAR</t>
  </si>
  <si>
    <t>INDU</t>
  </si>
  <si>
    <t>PSMC</t>
  </si>
  <si>
    <t>Individuals</t>
  </si>
  <si>
    <t>MEEZAN BANK LIMITED</t>
  </si>
  <si>
    <t>(Number of units)</t>
  </si>
  <si>
    <t>Formation Cost</t>
  </si>
  <si>
    <t>AS AT SEPTEMBER 30, 2015</t>
  </si>
  <si>
    <t>Auditors' Remuneration</t>
  </si>
  <si>
    <t>FOR THE QUARTER ENDED SEPTEMBER 30, 2015 (Unaudited)</t>
  </si>
  <si>
    <t>Net income /(Loss) for the quarter before taxation</t>
  </si>
  <si>
    <t>Earning per unit - basic and diluted</t>
  </si>
  <si>
    <t>Net income for the quarter after taxation</t>
  </si>
  <si>
    <t>-------------------Rupees----------------------</t>
  </si>
  <si>
    <t>Equity Sub Fund</t>
  </si>
  <si>
    <t>Debt Sub Fund</t>
  </si>
  <si>
    <t xml:space="preserve"> Money Market Sub Fund</t>
  </si>
  <si>
    <t>-----------------------Rupees in '000--------------------------</t>
  </si>
  <si>
    <t>Total comprehensive  income  for the quarter</t>
  </si>
  <si>
    <t>Unaudited (September 30, 2015)</t>
  </si>
  <si>
    <t>June 30, 2015</t>
  </si>
  <si>
    <t>Security deposits</t>
  </si>
  <si>
    <t>Payable to Securities and Exchange Commission of Pakistan</t>
  </si>
  <si>
    <t>Accrued expenses and other liabilities</t>
  </si>
  <si>
    <t>Participants' funds (as per statement attached)</t>
  </si>
  <si>
    <t>---------------------------------------------(Rupees in '000)--------------------------------------------</t>
  </si>
  <si>
    <t xml:space="preserve">                                                                                        For National Investment Trust Limited</t>
  </si>
  <si>
    <t xml:space="preserve">   Managing Director                                                                                       Director                                                                                         Director</t>
  </si>
  <si>
    <t>Title to the assets of the Fund are held in the name of CDC as the trustee of the Fund.</t>
  </si>
  <si>
    <t>These condensed interim financial statements have been prepared using the same accounting policies which were applied in the preparation of the annual financial statements of the Fund for the year ended June 30,2015</t>
  </si>
  <si>
    <t>-----------------------------------Rupees in '000-----------------------------------</t>
  </si>
  <si>
    <t>These accounts carry return at rates ranging from ____ to ____ per annum (30 June 2015: 3.14% to 6.34% per annum).</t>
  </si>
  <si>
    <t>Available for sale investments</t>
  </si>
  <si>
    <t>NIT Islamic Pension Fund ("the Fund") was established under a Trust Deed executed between National Investment Trust</t>
  </si>
  <si>
    <t>Limited as Pension Fund Manager and Central Depository Company of Pakistan Limited (CDC) as trustee. The Fund was</t>
  </si>
  <si>
    <t>approved by the Securities and Exchange Commission of Pakistan (SECP) on 30 April 2015 and the Trust Deed was</t>
  </si>
  <si>
    <t>executed on 14 May 2015.</t>
  </si>
  <si>
    <t>National Investment Trust Limited has been licensed to act as a Pension Fund Manager under the Voluntary Pension</t>
  </si>
  <si>
    <t>Scheme Rules, 2005 through a certifcate of registration issued by SECP. The registered office of the Pension Fund Manager</t>
  </si>
  <si>
    <t xml:space="preserve">is situated at 6th floor, National Bank of Pakistan Building I.I. Chundrigar Road, Karachi. </t>
  </si>
  <si>
    <t>The Fund is an unlisted pension scheme and offers units for public subscription on a continuous basis. The units are</t>
  </si>
  <si>
    <t>non-transferable except in the circumstances mentioned in VPS Rules and can be redeemed by surrendering to the Fund.</t>
  </si>
  <si>
    <t>Further, as per the offering document, no distribution of income or dividend is allowed from any of the sub-funds.</t>
  </si>
  <si>
    <t>The Fund has been formed to enable the participants to contribute in a diversified portfolio of securities, which are Shariah</t>
  </si>
  <si>
    <t>compliant. Under the Trust Deed, all the conducts and acts of the Fund are based on Shariah. The Pension Fund Manager</t>
  </si>
  <si>
    <t>has appointed Mufti Zeeshan Ali Aziz as Shariah Advisor to the Pension Fund to ensure that the activities of the Fund are in</t>
  </si>
  <si>
    <t xml:space="preserve">compliance with the principles of shariah. </t>
  </si>
  <si>
    <t>The Fund received Seed Capital from the Pension Fund Manager amouting to Rs. 225 million (i.e. Rs. 75 million in each</t>
  </si>
  <si>
    <t>Sub-Fund) on 16 June 2015 against which 22.5 million units, at the offer price of Rs. 10 per unit, were issued (i.e. 7.5 million</t>
  </si>
  <si>
    <t>of each Sub-Fund). Accordingly, the Fund commenced its operations from 16 June 2015.</t>
  </si>
  <si>
    <t>PACRA has maintained an asset manager rating of "AM2" to the Pension Fund Manager while the fund is currently not rated.</t>
  </si>
  <si>
    <r>
      <t xml:space="preserve">Savings accounts                                        </t>
    </r>
    <r>
      <rPr>
        <i/>
        <sz val="9"/>
        <rFont val="Arial"/>
        <family val="2"/>
      </rPr>
      <t xml:space="preserve">3.1 </t>
    </r>
  </si>
  <si>
    <t>PAYABLE TO NATIONAL INVESTMENT TRUST LIMITED - PENSION FUND MANAGER</t>
  </si>
  <si>
    <t>Payable to National Investment Trust Limited - Pension Fund Manager</t>
  </si>
  <si>
    <t xml:space="preserve">  Management remuneration </t>
  </si>
  <si>
    <t xml:space="preserve">  Sindh Sales Tax</t>
  </si>
  <si>
    <t xml:space="preserve">  Preliminary expenses and floataion cost</t>
  </si>
  <si>
    <t xml:space="preserve">  Security deposits</t>
  </si>
  <si>
    <t xml:space="preserve">  Others</t>
  </si>
  <si>
    <t>ACCRUED EXPENSES AND OTHER LIABILITIES</t>
  </si>
  <si>
    <t>Auditors' remuneration</t>
  </si>
  <si>
    <t>-----------------------------------Rupees in '000-----------------------------------------------</t>
  </si>
  <si>
    <t xml:space="preserve">Brokerage </t>
  </si>
  <si>
    <t>Units issued during the period</t>
  </si>
  <si>
    <t>-------------------------------------------Number of Units------------------------------------------</t>
  </si>
  <si>
    <t>Net income for the period</t>
  </si>
  <si>
    <t>Weighted average number of units in issue during the period</t>
  </si>
  <si>
    <t>Earnings per unit</t>
  </si>
  <si>
    <t>EARNINGS PER UNIT - BASIC AND DILUTED</t>
  </si>
  <si>
    <t>---------------------(Units)---------------------</t>
  </si>
  <si>
    <t>CONTRIBUTION TABLE</t>
  </si>
  <si>
    <t>Money Market Sub Fund</t>
  </si>
  <si>
    <t xml:space="preserve">Federal Excise Duty                                  </t>
  </si>
  <si>
    <t>Contributions received during the quarter are as follows:</t>
  </si>
  <si>
    <t>-------------------------------------------------------------------------------Septemeber 30, 2015----------------------------------------------------------------------------</t>
  </si>
  <si>
    <t>(Units)</t>
  </si>
  <si>
    <t>(Rs. "000)</t>
  </si>
  <si>
    <t>------------------------------Rupees in '000-------------------------</t>
  </si>
  <si>
    <t>National Investment Trust Limited - Pension Fund Manager</t>
  </si>
  <si>
    <t>Sindh Sales Tax on pension fund manager remuneration</t>
  </si>
  <si>
    <t>Central Depository Company of Pakistan Limited - Trustee of the Fund</t>
  </si>
  <si>
    <t>Trustee remuneration for the quarter</t>
  </si>
  <si>
    <t>CDC charges for the quarter</t>
  </si>
  <si>
    <t>Directors and Key Management Personnel</t>
  </si>
  <si>
    <t>Amount outstanding as at period end</t>
  </si>
  <si>
    <t>-------------------------------------------Rupees in '0000------------------------------------------</t>
  </si>
  <si>
    <t>Units held</t>
  </si>
  <si>
    <t>Trustee remuneration  payable</t>
  </si>
  <si>
    <t>For National Investment Trust Limited</t>
  </si>
  <si>
    <t>(Pension Fund Manager)</t>
  </si>
  <si>
    <t>Managing Director                                                                                                                        Director                                                                                                         Director</t>
  </si>
  <si>
    <t xml:space="preserve">                                                                                                     (Pension Fund Manager)</t>
  </si>
  <si>
    <t xml:space="preserve"> For National Investment Trust Limited</t>
  </si>
  <si>
    <t xml:space="preserve">   (Pension Fund Manager)</t>
  </si>
  <si>
    <t xml:space="preserve">   Managing Director                                                                                   Director                                                                      Director</t>
  </si>
  <si>
    <t>---------------------------September 30, 2015---------------------------</t>
  </si>
  <si>
    <t>-------------------------(Unaudited)--------------------------</t>
  </si>
  <si>
    <t>-----------------------------Rupees in '000-------------------------------</t>
  </si>
  <si>
    <t xml:space="preserve">Net unrealised (diminution) / appreciation on  </t>
  </si>
  <si>
    <t xml:space="preserve">as 'available for sale' </t>
  </si>
  <si>
    <t xml:space="preserve">re-measurement of investments classified </t>
  </si>
  <si>
    <t xml:space="preserve">Less: Net unrealised appreciation in the fair value </t>
  </si>
  <si>
    <t>of investments at the beginning of the period</t>
  </si>
  <si>
    <t>Less: Carrying value of investments</t>
  </si>
  <si>
    <t>Amounts of unit held</t>
  </si>
  <si>
    <t>Number</t>
  </si>
  <si>
    <t>Prelimininary expenses and floatation cost payable</t>
  </si>
  <si>
    <t>Security deposit paid on behalf of the Fund-payable</t>
  </si>
  <si>
    <t>Other payable</t>
  </si>
  <si>
    <t>Amount of units issued</t>
  </si>
  <si>
    <t>-------------------------------------------Rupees in '000------------------------------------------</t>
  </si>
  <si>
    <r>
      <t>Listed Equity Securities                             3</t>
    </r>
    <r>
      <rPr>
        <i/>
        <sz val="9"/>
        <rFont val="Arial"/>
        <family val="2"/>
      </rPr>
      <t>.1</t>
    </r>
  </si>
  <si>
    <t xml:space="preserve">Issue of 937,870 units </t>
  </si>
  <si>
    <t>Other net income for the period</t>
  </si>
  <si>
    <t>Net income for the period before taxation</t>
  </si>
  <si>
    <t>Payable to charity</t>
  </si>
  <si>
    <t>NITIPF EQUITY SUB FUND</t>
  </si>
  <si>
    <t>INVESTMENT - AVAILABLE FOR SALE</t>
  </si>
  <si>
    <t>#</t>
  </si>
  <si>
    <t>Name of Investee Companies</t>
  </si>
  <si>
    <t>Code</t>
  </si>
  <si>
    <t>Sector</t>
  </si>
  <si>
    <t>As at 01 July 2015</t>
  </si>
  <si>
    <t>Purchases during the period</t>
  </si>
  <si>
    <t>Bonus shares received during the period</t>
  </si>
  <si>
    <t>Right shares purchased/ subscribed during the period</t>
  </si>
  <si>
    <t>Sale              during the period</t>
  </si>
  <si>
    <t>As at September 30, 2015</t>
  </si>
  <si>
    <t>Cost/ Carrying value ast at September 30, 2015</t>
  </si>
  <si>
    <t>Market Value as at September 30, 2015</t>
  </si>
  <si>
    <t>Market Value as a percentage of investment</t>
  </si>
  <si>
    <t>Percentage of paid-up capital of the investee company held</t>
  </si>
  <si>
    <t xml:space="preserve">     '-----------------------(Numberr of Shares--------------------</t>
  </si>
  <si>
    <t>-----Rupees in '000--------</t>
  </si>
  <si>
    <t>------------%----</t>
  </si>
  <si>
    <t>AUTOMOBILE ASSEMBLER Total</t>
  </si>
  <si>
    <t>CEMENT Total</t>
  </si>
  <si>
    <t>MEBL</t>
  </si>
  <si>
    <t>COMMERCIAL BANKS</t>
  </si>
  <si>
    <t>COMMERCIAL BANKS Total</t>
  </si>
  <si>
    <t>FERTILIZER Total</t>
  </si>
  <si>
    <t>FOOD &amp; PERSONAL CARE PRODUCERS Total</t>
  </si>
  <si>
    <t>OIL AND GAS MARKETING COMPANIES Total</t>
  </si>
  <si>
    <t>PHARMACEUTICALS Total</t>
  </si>
  <si>
    <t>POWER GENERATIN &amp; DISTRIBUTION Total</t>
  </si>
  <si>
    <t>Grand Total</t>
  </si>
  <si>
    <t xml:space="preserve">3.1 Investment - available for sale </t>
  </si>
  <si>
    <t xml:space="preserve">Net unrealised (dimunition)/ appreciation on remeasurement of </t>
  </si>
  <si>
    <t>investments classified as 'available for sale'</t>
  </si>
  <si>
    <t>Gain on sale of investments-net</t>
  </si>
  <si>
    <t>Total comprehensive income for the period</t>
  </si>
  <si>
    <t>of investments classified as 'available for sale ' - note 3.1</t>
  </si>
  <si>
    <t xml:space="preserve">Net unrealised appreciation / (diminution) on re-measurement </t>
  </si>
  <si>
    <t>ENGRO FOODS LIMITED</t>
  </si>
  <si>
    <t>INDUS MOTOR COMPANY LIMITED</t>
  </si>
  <si>
    <t>PAK SUZUKI MOTOR CO. LTD.</t>
  </si>
  <si>
    <t>HONDA ATLAS CARS LIMITED</t>
  </si>
  <si>
    <t>LUCKY CEMENT LIMITED</t>
  </si>
  <si>
    <t>FAUJI CEMENT COMPANY LTD.</t>
  </si>
  <si>
    <t>FAUJI FERTILIZER COMPANY LIMITED.</t>
  </si>
  <si>
    <t>ENGRO FERTILIZER LIMITED</t>
  </si>
  <si>
    <t>FAUJI FERTILIZER BIN QASIM LTD.</t>
  </si>
  <si>
    <t>ENGRO CORPORATION LTD.</t>
  </si>
  <si>
    <t>PAKISTAN PETROLEUM LTD.</t>
  </si>
  <si>
    <t>PAKISTAN STATE OIL CO. LTD.</t>
  </si>
  <si>
    <t>FEROZSONS LABORATORIES LTD.</t>
  </si>
  <si>
    <t>ABBOT LABOATORIES (PAKISTAN) LTD.</t>
  </si>
  <si>
    <t>SEARLE PAKISTAN LTD.</t>
  </si>
  <si>
    <t>KOT ADDU POWER CO.LTD.</t>
  </si>
  <si>
    <t>HUB POWER COMPANY LIMITED</t>
  </si>
  <si>
    <t>% OF Net Assets</t>
  </si>
  <si>
    <t>The annexed notes 1 to 12 form an integral part of this condensed interim financial information.</t>
  </si>
  <si>
    <t>Amortization of formation Cost</t>
  </si>
  <si>
    <t xml:space="preserve">              '-sd-                                                                                                        -sd-                                                                                               -sd-</t>
  </si>
  <si>
    <t xml:space="preserve">           '-sd-                                                                                                    -sd-                                                                                -sd-</t>
  </si>
  <si>
    <t xml:space="preserve">             '-sd-                                                                              -sd-                                                                            -sd-</t>
  </si>
  <si>
    <t xml:space="preserve">             '-sd-                                                                             -sd-                                                                            -sd-</t>
  </si>
  <si>
    <t xml:space="preserve">             '-sd-                                                                                                                                    -sd-                                                                                                                  -sd-</t>
  </si>
  <si>
    <t>These condensed interim financial statements were authorised for issue on October 22, 2015 by the Board of Directors of the Pension Fund Manager.</t>
  </si>
  <si>
    <t>- Pension Fund Manager</t>
  </si>
  <si>
    <t>Remuneration of National Investment Trust Limited -Pension Fund Manager</t>
  </si>
  <si>
    <t>Sindh sales tax on remuneration of Pension Fund Manager</t>
  </si>
  <si>
    <t>Federal Excise Duty on Pension Fund Manager Remunaration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</si>
</sst>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t;1]\ &quot;Pk of &quot;\ #;[=1]\ &quot;Each&quot;;\ 0.000\ &quot; km&quot;"/>
    <numFmt numFmtId="166" formatCode="&quot; $&quot;* #,##0.00_ ;"/>
    <numFmt numFmtId="167" formatCode="_ * #,##0.00_)&quot;F&quot;_ ;_ * \(#,##0.00\)&quot;F&quot;_ ;_ * &quot;-&quot;??_)&quot;F&quot;_ ;_ @_ "/>
    <numFmt numFmtId="168" formatCode="_(* #,##0.00000_);_(* \(#,##0.00000\);_(* &quot;-&quot;??_);_(@_)"/>
    <numFmt numFmtId="169" formatCode="_-* #,##0.00_-;\-* #,##0.00_-;_-* &quot;-&quot;??_-;_-@_-"/>
    <numFmt numFmtId="170" formatCode="_-* #,##0_-;\-* #,##0_-;_-* &quot;-&quot;??_-;_-@_-"/>
    <numFmt numFmtId="171" formatCode="_([$€-2]* #,##0.00_);_([$€-2]* \(#,##0.00\);_([$€-2]* &quot;-&quot;??_)"/>
    <numFmt numFmtId="172" formatCode="00000"/>
    <numFmt numFmtId="173" formatCode="_(* #,##0.0000_);_(* \(#,##0.0000\);_(* &quot;-&quot;??_);_(@_)"/>
    <numFmt numFmtId="174" formatCode="0_);\(0\)"/>
    <numFmt numFmtId="175" formatCode="_-* #,##0_-;\-* #,##0_-;_-* &quot;-&quot;_-;_-@_-"/>
    <numFmt numFmtId="176" formatCode="General_)"/>
    <numFmt numFmtId="177" formatCode="_-&quot;$&quot;* #,##0_-;\-&quot;$&quot;* #,##0_-;_-&quot;$&quot;* &quot;-&quot;_-;_-@_-"/>
    <numFmt numFmtId="178" formatCode="_-&quot;$&quot;* #,##0.00_-;\-&quot;$&quot;* #,##0.00_-;_-&quot;$&quot;* &quot;-&quot;??_-;_-@_-"/>
    <numFmt numFmtId="179" formatCode="&quot;$&quot;##,##0_);[Red]\(&quot;$&quot;#,##0\)"/>
    <numFmt numFmtId="180" formatCode="\£\ #,##0_);[Red]\(\£\ #,##0\)"/>
    <numFmt numFmtId="181" formatCode="\¥\ #,##0_);[Red]\(\¥\ #,##0\)"/>
    <numFmt numFmtId="182" formatCode="\•\ \ @"/>
    <numFmt numFmtId="183" formatCode="\ \ _•\–\ \ \ \ @"/>
    <numFmt numFmtId="184" formatCode="_-* #,##0\ _P_t_s_-;\-* #,##0\ _P_t_s_-;_-* &quot;-&quot;\ _P_t_s_-;_-@_-"/>
    <numFmt numFmtId="185" formatCode="_-* #,##0.00\ _P_t_s_-;\-* #,##0.00\ _P_t_s_-;_-* &quot;-&quot;??\ _P_t_s_-;_-@_-"/>
    <numFmt numFmtId="186" formatCode="#,##0_);\(#,##0\);_(* &quot;-&quot;?_);_(@_)"/>
    <numFmt numFmtId="187" formatCode="\I\n\t\i\a\l\ \c\a\p"/>
    <numFmt numFmtId="188" formatCode="_-* #,##0\ _F_-;\-* #,##0\ _F_-;_-* &quot;-&quot;\ _F_-;_-@_-"/>
    <numFmt numFmtId="189" formatCode="_-* #,##0.00\ _F_-;\-* #,##0.00\ _F_-;_-* &quot;-&quot;??\ _F_-;_-@_-"/>
    <numFmt numFmtId="190" formatCode="0.0%"/>
    <numFmt numFmtId="191" formatCode="mm/dd/yy"/>
    <numFmt numFmtId="192" formatCode="#,##0.00;[Red]\(#,##0.00\)"/>
    <numFmt numFmtId="193" formatCode="_ * #,##0.00_ ;_ * \-#,##0.00_ ;_ * &quot;-&quot;??_ ;_ @_ "/>
    <numFmt numFmtId="194" formatCode="_ * #,##0_ ;_ * \-#,##0_ ;_ * &quot;-&quot;_ ;_ @_ "/>
    <numFmt numFmtId="195" formatCode="_(* #,##0.0_);_(* \(#,##0.0\);_(* &quot;-&quot;?_);@_)"/>
    <numFmt numFmtId="196" formatCode="_(* #,##0.0_);_(* \(#,##0.0\);_(* &quot;-&quot;??_);_(@_)"/>
    <numFmt numFmtId="197" formatCode="#,##0.00&quot; $&quot;;[Red]\-#,##0.00&quot; $&quot;"/>
    <numFmt numFmtId="198" formatCode="_(* #,##0.000_);_(* \(#,##0.000\);_(* &quot;-&quot;??_);_(@_)"/>
    <numFmt numFmtId="199" formatCode="[$-409]d\-mmm\-yy;@"/>
    <numFmt numFmtId="200" formatCode="#,##0.00_);\(#,##0.00\);_(* &quot;-&quot;?_);_(@_)"/>
  </numFmts>
  <fonts count="102">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8"/>
      <name val="Arial"/>
      <family val="2"/>
    </font>
    <font>
      <sz val="12"/>
      <name val="Arial"/>
      <family val="2"/>
    </font>
    <font>
      <b/>
      <sz val="12"/>
      <name val="Arial"/>
      <family val="2"/>
    </font>
    <font>
      <sz val="10"/>
      <name val="Times New Roman"/>
      <family val="1"/>
    </font>
    <font>
      <b/>
      <sz val="12"/>
      <name val="Albertus Medium"/>
      <family val="2"/>
    </font>
    <font>
      <b/>
      <sz val="10"/>
      <name val="Times New Roman"/>
      <family val="1"/>
    </font>
    <font>
      <b/>
      <sz val="12"/>
      <name val="Times New Roman"/>
      <family val="1"/>
    </font>
    <font>
      <sz val="12"/>
      <name val="Times New Roman"/>
      <family val="1"/>
    </font>
    <font>
      <sz val="11"/>
      <name val="Times New Roman"/>
      <family val="1"/>
    </font>
    <font>
      <sz val="10"/>
      <color indexed="8"/>
      <name val="Arial"/>
      <family val="2"/>
    </font>
    <font>
      <b/>
      <sz val="9"/>
      <name val="Arial"/>
      <family val="2"/>
    </font>
    <font>
      <sz val="10"/>
      <name val="Times New Roman"/>
      <family val="1"/>
    </font>
    <font>
      <sz val="9"/>
      <name val="Arial"/>
      <family val="2"/>
    </font>
    <font>
      <i/>
      <sz val="9"/>
      <name val="Arial"/>
      <family val="2"/>
    </font>
    <font>
      <b/>
      <i/>
      <sz val="9"/>
      <name val="Arial"/>
      <family val="2"/>
    </font>
    <font>
      <sz val="8"/>
      <name val="Times New Roman"/>
      <family val="1"/>
    </font>
    <font>
      <b/>
      <sz val="10"/>
      <name val="Arial"/>
      <family val="2"/>
    </font>
    <font>
      <sz val="9"/>
      <name val="Times New Roman"/>
      <family val="1"/>
    </font>
    <font>
      <sz val="9"/>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2"/>
      <name val="Tms Rmn"/>
    </font>
    <font>
      <sz val="10"/>
      <name val="MS Sans Serif"/>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sz val="8"/>
      <color indexed="18"/>
      <name val="Arial"/>
      <family val="2"/>
    </font>
    <font>
      <sz val="8"/>
      <name val="Helv"/>
    </font>
    <font>
      <b/>
      <sz val="8"/>
      <color indexed="8"/>
      <name val="Helv"/>
    </font>
    <font>
      <b/>
      <sz val="9"/>
      <color indexed="8"/>
      <name val="Arial"/>
      <family val="2"/>
    </font>
    <font>
      <sz val="11"/>
      <name val="Arial"/>
      <family val="2"/>
    </font>
    <font>
      <sz val="12"/>
      <name val="Helv"/>
    </font>
    <font>
      <sz val="8"/>
      <color indexed="81"/>
      <name val="Tahoma"/>
      <family val="2"/>
    </font>
    <font>
      <b/>
      <sz val="8"/>
      <color indexed="81"/>
      <name val="Tahoma"/>
      <family val="2"/>
    </font>
    <font>
      <sz val="10"/>
      <name val="Helv"/>
      <charset val="204"/>
    </font>
    <font>
      <sz val="10"/>
      <name val="ＭＳ Ｐゴシック"/>
      <family val="3"/>
      <charset val="128"/>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b/>
      <sz val="12"/>
      <color indexed="8"/>
      <name val="Barclays Serif"/>
      <family val="2"/>
    </font>
    <font>
      <sz val="10"/>
      <name val="Arial"/>
      <family val="2"/>
    </font>
    <font>
      <b/>
      <sz val="8"/>
      <name val="Arial"/>
      <family val="2"/>
    </font>
    <font>
      <i/>
      <sz val="8"/>
      <name val="Arial"/>
      <family val="2"/>
    </font>
    <font>
      <b/>
      <sz val="8"/>
      <color indexed="8"/>
      <name val="Arial"/>
      <family val="2"/>
    </font>
    <font>
      <b/>
      <sz val="8"/>
      <color indexed="24"/>
      <name val="Arial"/>
      <family val="2"/>
    </font>
    <font>
      <b/>
      <sz val="9"/>
      <color indexed="24"/>
      <name val="Arial"/>
      <family val="2"/>
    </font>
    <font>
      <b/>
      <sz val="11"/>
      <color indexed="24"/>
      <name val="Arial"/>
      <family val="2"/>
    </font>
    <font>
      <sz val="9"/>
      <color indexed="8"/>
      <name val="Arial"/>
      <family val="2"/>
    </font>
    <font>
      <b/>
      <sz val="9"/>
      <name val="Times New Roman"/>
      <family val="1"/>
    </font>
    <font>
      <sz val="7.5"/>
      <name val="Arial"/>
      <family val="2"/>
    </font>
    <font>
      <i/>
      <sz val="7.5"/>
      <name val="Arial"/>
      <family val="2"/>
    </font>
    <font>
      <b/>
      <sz val="7.5"/>
      <name val="Arial"/>
      <family val="2"/>
    </font>
    <font>
      <sz val="11"/>
      <color theme="1"/>
      <name val="Calibri"/>
      <family val="2"/>
      <scheme val="minor"/>
    </font>
    <font>
      <b/>
      <sz val="9"/>
      <color indexed="10"/>
      <name val="Arial"/>
      <family val="2"/>
    </font>
    <font>
      <b/>
      <sz val="9"/>
      <color indexed="9"/>
      <name val="Arial"/>
      <family val="2"/>
    </font>
    <font>
      <b/>
      <sz val="7"/>
      <name val="Arial"/>
      <family val="2"/>
    </font>
    <font>
      <sz val="7"/>
      <name val="Arial"/>
      <family val="2"/>
    </font>
    <font>
      <sz val="10"/>
      <name val="Arial"/>
      <family val="2"/>
    </font>
    <font>
      <sz val="10"/>
      <name val="HelmetCondensed"/>
    </font>
    <font>
      <b/>
      <sz val="12"/>
      <color indexed="8"/>
      <name val="Garamond"/>
      <family val="1"/>
    </font>
    <font>
      <sz val="9"/>
      <color rgb="FFFF0000"/>
      <name val="Arial"/>
      <family val="2"/>
    </font>
    <font>
      <b/>
      <sz val="14"/>
      <color indexed="8"/>
      <name val="Calibri"/>
      <family val="2"/>
    </font>
    <font>
      <sz val="10"/>
      <color indexed="8"/>
      <name val="Calibri"/>
      <family val="2"/>
    </font>
    <font>
      <sz val="12"/>
      <color theme="1"/>
      <name val="Garamond"/>
      <family val="1"/>
    </font>
    <font>
      <b/>
      <sz val="9"/>
      <color indexed="8"/>
      <name val="Garamond"/>
      <family val="1"/>
    </font>
    <font>
      <b/>
      <sz val="10"/>
      <color indexed="8"/>
      <name val="Calibri"/>
      <family val="2"/>
    </font>
    <font>
      <b/>
      <sz val="11"/>
      <color theme="1"/>
      <name val="Calibri"/>
      <family val="2"/>
      <scheme val="min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35">
    <xf numFmtId="0" fontId="0" fillId="0" borderId="0"/>
    <xf numFmtId="0" fontId="7" fillId="0" borderId="0"/>
    <xf numFmtId="0" fontId="7"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80" fontId="16" fillId="0" borderId="0" applyFont="0" applyFill="0" applyBorder="0" applyAlignment="0" applyProtection="0"/>
    <xf numFmtId="181" fontId="16" fillId="0" borderId="0" applyFont="0" applyFill="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191" fontId="65" fillId="0" borderId="1" applyFont="0" applyFill="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43" fontId="7" fillId="0" borderId="0" applyFont="0" applyFill="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47" fillId="0" borderId="0" applyNumberFormat="0" applyFill="0" applyBorder="0" applyAlignment="0" applyProtection="0"/>
    <xf numFmtId="0" fontId="15" fillId="0" borderId="2" applyNumberFormat="0" applyFill="0" applyAlignment="0" applyProtection="0"/>
    <xf numFmtId="49" fontId="79" fillId="0" borderId="0" applyFont="0" applyFill="0" applyBorder="0" applyAlignment="0" applyProtection="0">
      <alignment horizontal="left"/>
    </xf>
    <xf numFmtId="195" fontId="21" fillId="0" borderId="0" applyAlignment="0" applyProtection="0"/>
    <xf numFmtId="190" fontId="8" fillId="0" borderId="0" applyFill="0" applyBorder="0" applyAlignment="0" applyProtection="0"/>
    <xf numFmtId="49" fontId="8" fillId="0" borderId="0" applyNumberFormat="0" applyAlignment="0" applyProtection="0">
      <alignment horizontal="left"/>
    </xf>
    <xf numFmtId="49" fontId="80" fillId="0" borderId="3" applyNumberFormat="0" applyAlignment="0" applyProtection="0">
      <alignment horizontal="left" wrapText="1"/>
    </xf>
    <xf numFmtId="49" fontId="80" fillId="0" borderId="0" applyNumberFormat="0" applyAlignment="0" applyProtection="0">
      <alignment horizontal="left" wrapText="1"/>
    </xf>
    <xf numFmtId="49" fontId="81" fillId="0" borderId="0" applyAlignment="0" applyProtection="0">
      <alignment horizontal="left"/>
    </xf>
    <xf numFmtId="182" fontId="16" fillId="0" borderId="0" applyFont="0" applyFill="0" applyBorder="0" applyAlignment="0" applyProtection="0"/>
    <xf numFmtId="167" fontId="9" fillId="0" borderId="0" applyFill="0" applyBorder="0" applyAlignment="0"/>
    <xf numFmtId="167" fontId="8" fillId="0" borderId="0" applyFill="0" applyBorder="0" applyAlignment="0"/>
    <xf numFmtId="0" fontId="32" fillId="20" borderId="4" applyNumberFormat="0" applyAlignment="0" applyProtection="0"/>
    <xf numFmtId="0" fontId="32" fillId="20" borderId="4" applyNumberFormat="0" applyAlignment="0" applyProtection="0"/>
    <xf numFmtId="0" fontId="32" fillId="20" borderId="4" applyNumberFormat="0" applyAlignment="0" applyProtection="0"/>
    <xf numFmtId="0" fontId="32" fillId="20" borderId="4" applyNumberFormat="0" applyAlignment="0" applyProtection="0"/>
    <xf numFmtId="0" fontId="33" fillId="21" borderId="5" applyNumberFormat="0" applyAlignment="0" applyProtection="0"/>
    <xf numFmtId="0" fontId="33" fillId="21" borderId="5" applyNumberFormat="0" applyAlignment="0" applyProtection="0"/>
    <xf numFmtId="0" fontId="33" fillId="21" borderId="5" applyNumberFormat="0" applyAlignment="0" applyProtection="0"/>
    <xf numFmtId="0" fontId="33" fillId="21" borderId="5" applyNumberFormat="0" applyAlignment="0" applyProtection="0"/>
    <xf numFmtId="43" fontId="7"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3" fontId="7" fillId="0" borderId="0" applyFont="0" applyFill="0" applyBorder="0" applyAlignment="0" applyProtection="0"/>
    <xf numFmtId="43" fontId="29" fillId="0" borderId="0" applyFont="0" applyFill="0" applyBorder="0" applyAlignment="0" applyProtection="0"/>
    <xf numFmtId="43" fontId="16" fillId="0" borderId="0" applyFont="0" applyFill="0" applyBorder="0" applyAlignment="0" applyProtection="0"/>
    <xf numFmtId="43" fontId="75" fillId="0" borderId="0" applyFont="0" applyFill="0" applyBorder="0" applyAlignment="0" applyProtection="0"/>
    <xf numFmtId="43" fontId="7" fillId="0" borderId="0" applyFont="0" applyFill="0" applyBorder="0" applyAlignment="0" applyProtection="0"/>
    <xf numFmtId="43" fontId="8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8" fillId="0" borderId="0" applyFont="0" applyFill="0" applyBorder="0" applyAlignment="0" applyProtection="0"/>
    <xf numFmtId="0" fontId="43" fillId="0" borderId="0">
      <alignment vertical="top"/>
    </xf>
    <xf numFmtId="0" fontId="18" fillId="0" borderId="0">
      <alignment vertical="top"/>
    </xf>
    <xf numFmtId="43" fontId="7" fillId="0" borderId="0" applyFont="0" applyFill="0" applyBorder="0" applyAlignment="0" applyProtection="0"/>
    <xf numFmtId="43" fontId="7" fillId="0" borderId="0" applyFont="0" applyFill="0" applyBorder="0" applyAlignment="0" applyProtection="0"/>
    <xf numFmtId="164" fontId="49" fillId="0" borderId="0" applyFont="0" applyFill="0" applyBorder="0" applyAlignment="0" applyProtection="0"/>
    <xf numFmtId="43" fontId="16" fillId="0" borderId="0" applyFont="0" applyFill="0" applyBorder="0" applyAlignment="0" applyProtection="0"/>
    <xf numFmtId="43" fontId="28" fillId="0" borderId="0" applyFont="0" applyFill="0" applyBorder="0" applyAlignment="0" applyProtection="0"/>
    <xf numFmtId="43" fontId="7"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9" fontId="49" fillId="0" borderId="0" applyFont="0" applyFill="0" applyBorder="0" applyAlignment="0" applyProtection="0"/>
    <xf numFmtId="43" fontId="16" fillId="0" borderId="0" applyFont="0" applyFill="0" applyBorder="0" applyAlignment="0" applyProtection="0"/>
    <xf numFmtId="169" fontId="7" fillId="0" borderId="0" applyFont="0" applyFill="0" applyBorder="0" applyAlignment="0" applyProtection="0"/>
    <xf numFmtId="176" fontId="50" fillId="0" borderId="0" applyFill="0" applyBorder="0">
      <alignment horizontal="left"/>
    </xf>
    <xf numFmtId="0" fontId="51" fillId="22" borderId="0" applyFill="0" applyBorder="0"/>
    <xf numFmtId="0" fontId="52" fillId="0" borderId="0" applyNumberFormat="0" applyAlignment="0">
      <alignment horizontal="left"/>
    </xf>
    <xf numFmtId="44" fontId="7" fillId="0" borderId="0" applyFont="0" applyFill="0" applyBorder="0" applyAlignment="0" applyProtection="0"/>
    <xf numFmtId="183" fontId="16" fillId="0" borderId="0" applyFont="0" applyFill="0" applyBorder="0" applyAlignment="0" applyProtection="0"/>
    <xf numFmtId="0" fontId="53" fillId="22" borderId="0"/>
    <xf numFmtId="166" fontId="10" fillId="0" borderId="0" applyFont="0" applyFill="0" applyBorder="0" applyAlignment="0" applyProtection="0"/>
    <xf numFmtId="0" fontId="54" fillId="0" borderId="0" applyNumberFormat="0" applyAlignment="0">
      <alignment horizontal="left"/>
    </xf>
    <xf numFmtId="171" fontId="7"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5" fillId="0" borderId="0" applyFill="0" applyAlignment="0"/>
    <xf numFmtId="0" fontId="7" fillId="0" borderId="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38" fontId="8" fillId="22" borderId="0" applyNumberFormat="0" applyBorder="0" applyAlignment="0" applyProtection="0"/>
    <xf numFmtId="0" fontId="11" fillId="0" borderId="6" applyNumberFormat="0" applyAlignment="0" applyProtection="0">
      <alignment horizontal="left" vertical="center"/>
    </xf>
    <xf numFmtId="0" fontId="11" fillId="0" borderId="7">
      <alignment horizontal="left" vertical="center"/>
    </xf>
    <xf numFmtId="0" fontId="36" fillId="0" borderId="8"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7" fillId="0" borderId="9"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7" borderId="4" applyNumberFormat="0" applyAlignment="0" applyProtection="0"/>
    <xf numFmtId="10" fontId="8" fillId="23" borderId="1" applyNumberFormat="0" applyBorder="0" applyAlignment="0" applyProtection="0"/>
    <xf numFmtId="0" fontId="39" fillId="7" borderId="4" applyNumberFormat="0" applyAlignment="0" applyProtection="0"/>
    <xf numFmtId="0" fontId="39" fillId="7" borderId="4" applyNumberFormat="0" applyAlignment="0" applyProtection="0"/>
    <xf numFmtId="0" fontId="39" fillId="7" borderId="4" applyNumberFormat="0" applyAlignment="0" applyProtection="0"/>
    <xf numFmtId="0" fontId="61" fillId="0" borderId="0" applyBorder="0"/>
    <xf numFmtId="179" fontId="7" fillId="0" borderId="0"/>
    <xf numFmtId="187" fontId="26" fillId="0" borderId="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184" fontId="7" fillId="0" borderId="0" applyFont="0" applyFill="0" applyBorder="0" applyAlignment="0" applyProtection="0"/>
    <xf numFmtId="185" fontId="7"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42" fontId="28" fillId="0" borderId="0" applyFont="0" applyFill="0" applyBorder="0" applyAlignment="0" applyProtection="0"/>
    <xf numFmtId="44" fontId="28" fillId="0" borderId="0" applyFont="0" applyFill="0" applyBorder="0" applyAlignment="0" applyProtection="0"/>
    <xf numFmtId="165" fontId="12" fillId="0" borderId="0" applyFill="0" applyBorder="0">
      <alignment horizontal="center" vertical="top"/>
    </xf>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11" fillId="23" borderId="12">
      <alignment vertical="center"/>
    </xf>
    <xf numFmtId="0" fontId="7" fillId="0" borderId="0"/>
    <xf numFmtId="0" fontId="16" fillId="0" borderId="0">
      <alignment vertical="top"/>
    </xf>
    <xf numFmtId="0" fontId="87" fillId="0" borderId="0"/>
    <xf numFmtId="0" fontId="16" fillId="0" borderId="0">
      <alignment vertical="top"/>
    </xf>
    <xf numFmtId="0" fontId="16" fillId="0" borderId="0">
      <alignment vertical="top"/>
    </xf>
    <xf numFmtId="0" fontId="7" fillId="0" borderId="0"/>
    <xf numFmtId="0" fontId="16" fillId="0" borderId="0">
      <alignment vertical="top"/>
    </xf>
    <xf numFmtId="0" fontId="16" fillId="0" borderId="0"/>
    <xf numFmtId="0" fontId="87" fillId="0" borderId="0"/>
    <xf numFmtId="0" fontId="7" fillId="0" borderId="0"/>
    <xf numFmtId="0" fontId="28"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8" fillId="0" borderId="0"/>
    <xf numFmtId="0" fontId="28" fillId="0" borderId="0"/>
    <xf numFmtId="0" fontId="16" fillId="0" borderId="0"/>
    <xf numFmtId="0" fontId="16" fillId="0" borderId="0"/>
    <xf numFmtId="0" fontId="7" fillId="0" borderId="0"/>
    <xf numFmtId="0" fontId="7" fillId="0" borderId="0"/>
    <xf numFmtId="0" fontId="16" fillId="0" borderId="0"/>
    <xf numFmtId="0" fontId="16" fillId="0" borderId="0"/>
    <xf numFmtId="0" fontId="28" fillId="0" borderId="0"/>
    <xf numFmtId="0" fontId="16" fillId="0" borderId="0"/>
    <xf numFmtId="0" fontId="7" fillId="0" borderId="0"/>
    <xf numFmtId="0" fontId="7" fillId="0" borderId="0"/>
    <xf numFmtId="0" fontId="16" fillId="0" borderId="0">
      <alignment vertical="top"/>
    </xf>
    <xf numFmtId="0" fontId="16" fillId="0" borderId="0">
      <alignment vertical="top"/>
    </xf>
    <xf numFmtId="0" fontId="29" fillId="0" borderId="0"/>
    <xf numFmtId="0" fontId="28" fillId="0" borderId="0"/>
    <xf numFmtId="0" fontId="7" fillId="0" borderId="0"/>
    <xf numFmtId="0" fontId="16" fillId="0" borderId="0"/>
    <xf numFmtId="0" fontId="17" fillId="0" borderId="0"/>
    <xf numFmtId="0" fontId="7" fillId="0" borderId="0"/>
    <xf numFmtId="0" fontId="16" fillId="0" borderId="0"/>
    <xf numFmtId="0" fontId="16" fillId="0" borderId="0"/>
    <xf numFmtId="0" fontId="16" fillId="0" borderId="0"/>
    <xf numFmtId="0" fontId="16" fillId="0" borderId="0"/>
    <xf numFmtId="0" fontId="20" fillId="0" borderId="0"/>
    <xf numFmtId="0" fontId="7" fillId="0" borderId="0"/>
    <xf numFmtId="0" fontId="7" fillId="0" borderId="0"/>
    <xf numFmtId="0" fontId="7" fillId="0" borderId="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56" fillId="0" borderId="0">
      <alignment wrapText="1"/>
    </xf>
    <xf numFmtId="0" fontId="42" fillId="20" borderId="14" applyNumberFormat="0" applyAlignment="0" applyProtection="0"/>
    <xf numFmtId="0" fontId="42" fillId="20" borderId="14" applyNumberFormat="0" applyAlignment="0" applyProtection="0"/>
    <xf numFmtId="0" fontId="42" fillId="20" borderId="14" applyNumberFormat="0" applyAlignment="0" applyProtection="0"/>
    <xf numFmtId="0" fontId="42" fillId="20" borderId="14" applyNumberFormat="0" applyAlignment="0" applyProtection="0"/>
    <xf numFmtId="192" fontId="18" fillId="26" borderId="0">
      <alignment horizontal="right"/>
    </xf>
    <xf numFmtId="40" fontId="66" fillId="23" borderId="0">
      <alignment horizontal="right"/>
    </xf>
    <xf numFmtId="40" fontId="66" fillId="23" borderId="0">
      <alignment horizontal="right"/>
    </xf>
    <xf numFmtId="0" fontId="67" fillId="27" borderId="0">
      <alignment horizontal="center"/>
    </xf>
    <xf numFmtId="0" fontId="68" fillId="23" borderId="0">
      <alignment horizontal="right"/>
    </xf>
    <xf numFmtId="0" fontId="68" fillId="23" borderId="0">
      <alignment horizontal="right"/>
    </xf>
    <xf numFmtId="0" fontId="69" fillId="28" borderId="15"/>
    <xf numFmtId="0" fontId="70" fillId="23" borderId="15"/>
    <xf numFmtId="0" fontId="70" fillId="23" borderId="15"/>
    <xf numFmtId="0" fontId="71" fillId="26" borderId="0" applyBorder="0">
      <alignment horizontal="centerContinuous"/>
    </xf>
    <xf numFmtId="0" fontId="70" fillId="0" borderId="0" applyBorder="0">
      <alignment horizontal="centerContinuous"/>
    </xf>
    <xf numFmtId="0" fontId="70" fillId="0" borderId="0" applyBorder="0">
      <alignment horizontal="centerContinuous"/>
    </xf>
    <xf numFmtId="0" fontId="72" fillId="28" borderId="0" applyBorder="0">
      <alignment horizontal="centerContinuous"/>
    </xf>
    <xf numFmtId="0" fontId="73" fillId="0" borderId="0" applyBorder="0">
      <alignment horizontal="centerContinuous"/>
    </xf>
    <xf numFmtId="0" fontId="73" fillId="0" borderId="0" applyBorder="0">
      <alignment horizontal="centerContinuous"/>
    </xf>
    <xf numFmtId="10" fontId="7" fillId="0" borderId="0" applyFont="0" applyFill="0" applyBorder="0" applyAlignment="0" applyProtection="0"/>
    <xf numFmtId="9" fontId="2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29"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8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8" fillId="0" borderId="0" applyNumberFormat="0" applyFont="0" applyFill="0" applyBorder="0" applyAlignment="0" applyProtection="0">
      <alignment horizontal="left"/>
    </xf>
    <xf numFmtId="14" fontId="57" fillId="0" borderId="0" applyNumberFormat="0" applyFill="0" applyBorder="0" applyAlignment="0" applyProtection="0">
      <alignment horizontal="left"/>
    </xf>
    <xf numFmtId="0" fontId="7" fillId="0" borderId="0"/>
    <xf numFmtId="4" fontId="74" fillId="0" borderId="16" applyNumberFormat="0" applyProtection="0">
      <alignment horizontal="right" vertical="center"/>
    </xf>
    <xf numFmtId="0" fontId="43" fillId="0" borderId="0">
      <alignment vertical="top"/>
    </xf>
    <xf numFmtId="0" fontId="18" fillId="0" borderId="0">
      <alignment vertical="top"/>
    </xf>
    <xf numFmtId="0" fontId="13" fillId="0" borderId="0">
      <alignment horizontal="left" vertical="center"/>
    </xf>
    <xf numFmtId="0" fontId="14" fillId="0" borderId="0" applyNumberFormat="0" applyFill="0" applyBorder="0" applyProtection="0">
      <alignment vertical="center"/>
    </xf>
    <xf numFmtId="40" fontId="58" fillId="0" borderId="0" applyBorder="0">
      <alignment horizontal="right"/>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175" fontId="7" fillId="0" borderId="0" applyFont="0" applyFill="0" applyBorder="0" applyAlignment="0" applyProtection="0"/>
    <xf numFmtId="169" fontId="7" fillId="0" borderId="0" applyFont="0" applyFill="0" applyBorder="0" applyAlignment="0" applyProtection="0"/>
    <xf numFmtId="0" fontId="21" fillId="22" borderId="0" applyFont="0" applyFill="0">
      <alignment horizontal="center"/>
    </xf>
    <xf numFmtId="177" fontId="7" fillId="0" borderId="0" applyFont="0" applyFill="0" applyBorder="0" applyAlignment="0" applyProtection="0"/>
    <xf numFmtId="178" fontId="7"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93" fontId="7" fillId="0" borderId="0" applyFont="0" applyFill="0" applyBorder="0" applyAlignment="0" applyProtection="0"/>
    <xf numFmtId="194" fontId="7" fillId="0" borderId="0" applyFont="0" applyFill="0" applyBorder="0" applyAlignment="0" applyProtection="0"/>
    <xf numFmtId="0" fontId="7" fillId="0" borderId="0"/>
    <xf numFmtId="44" fontId="7" fillId="0" borderId="0" applyFont="0" applyFill="0" applyBorder="0" applyAlignment="0" applyProtection="0"/>
    <xf numFmtId="42" fontId="7" fillId="0" borderId="0" applyFont="0" applyFill="0" applyBorder="0" applyAlignment="0" applyProtection="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197" fontId="7" fillId="0" borderId="0" applyFill="0" applyBorder="0" applyAlignment="0"/>
    <xf numFmtId="197" fontId="7" fillId="0" borderId="0" applyFill="0" applyBorder="0" applyAlignment="0"/>
    <xf numFmtId="167" fontId="8" fillId="0" borderId="0" applyFill="0" applyBorder="0" applyAlignment="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0" fontId="7" fillId="0" borderId="0"/>
    <xf numFmtId="0" fontId="7" fillId="0" borderId="0"/>
    <xf numFmtId="0" fontId="7" fillId="0" borderId="0"/>
    <xf numFmtId="0" fontId="7" fillId="0" borderId="0"/>
    <xf numFmtId="179" fontId="7" fillId="0" borderId="0"/>
    <xf numFmtId="179" fontId="7" fillId="0" borderId="0"/>
    <xf numFmtId="179" fontId="7" fillId="0" borderId="0"/>
    <xf numFmtId="179"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 fillId="0" borderId="0"/>
    <xf numFmtId="0" fontId="16"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alignment vertical="top"/>
    </xf>
    <xf numFmtId="0" fontId="16" fillId="0" borderId="0">
      <alignment vertical="top"/>
    </xf>
    <xf numFmtId="0" fontId="16" fillId="0" borderId="0">
      <alignment vertical="top"/>
    </xf>
    <xf numFmtId="0" fontId="29" fillId="0" borderId="0"/>
    <xf numFmtId="0" fontId="29" fillId="0" borderId="0"/>
    <xf numFmtId="0" fontId="29" fillId="0" borderId="0"/>
    <xf numFmtId="0" fontId="29" fillId="0" borderId="0"/>
    <xf numFmtId="0" fontId="7" fillId="0" borderId="0"/>
    <xf numFmtId="0" fontId="7" fillId="0" borderId="0"/>
    <xf numFmtId="0" fontId="7" fillId="0" borderId="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0" fontId="29" fillId="25" borderId="13" applyNumberFormat="0" applyFont="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5" fillId="0" borderId="0" applyFont="0" applyFill="0" applyBorder="0" applyAlignment="0" applyProtection="0"/>
    <xf numFmtId="0" fontId="7" fillId="0" borderId="0"/>
    <xf numFmtId="0" fontId="5" fillId="0" borderId="0"/>
    <xf numFmtId="0" fontId="7" fillId="0" borderId="0"/>
    <xf numFmtId="0" fontId="5" fillId="0" borderId="0"/>
    <xf numFmtId="0" fontId="7"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92" fillId="0" borderId="0"/>
    <xf numFmtId="43" fontId="3" fillId="0" borderId="0" applyFont="0" applyFill="0" applyBorder="0" applyAlignment="0" applyProtection="0"/>
    <xf numFmtId="0" fontId="3" fillId="0" borderId="0"/>
    <xf numFmtId="0" fontId="3" fillId="0" borderId="0"/>
    <xf numFmtId="0" fontId="7"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7" fillId="0" borderId="0"/>
    <xf numFmtId="0" fontId="16" fillId="0" borderId="0">
      <alignment vertical="top"/>
    </xf>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16" fillId="0" borderId="0"/>
    <xf numFmtId="43" fontId="2" fillId="0" borderId="0" applyFont="0" applyFill="0" applyBorder="0" applyAlignment="0" applyProtection="0"/>
    <xf numFmtId="0" fontId="2" fillId="0" borderId="0"/>
    <xf numFmtId="0" fontId="2" fillId="0" borderId="0"/>
    <xf numFmtId="0" fontId="7" fillId="0" borderId="0"/>
    <xf numFmtId="9" fontId="2"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6" fillId="0" borderId="0"/>
    <xf numFmtId="0" fontId="16" fillId="0" borderId="0"/>
    <xf numFmtId="0" fontId="16" fillId="0" borderId="0"/>
    <xf numFmtId="0" fontId="7" fillId="0" borderId="0"/>
  </cellStyleXfs>
  <cellXfs count="745">
    <xf numFmtId="0" fontId="0" fillId="0" borderId="0" xfId="0"/>
    <xf numFmtId="0" fontId="19" fillId="0" borderId="0" xfId="306" applyNumberFormat="1" applyFont="1" applyBorder="1" applyAlignment="1"/>
    <xf numFmtId="0" fontId="19" fillId="0" borderId="0" xfId="310" applyFont="1" applyFill="1" applyAlignment="1"/>
    <xf numFmtId="0" fontId="19" fillId="0" borderId="0" xfId="310" applyFont="1" applyFill="1" applyAlignment="1">
      <alignment horizontal="centerContinuous"/>
    </xf>
    <xf numFmtId="0" fontId="21" fillId="0" borderId="0" xfId="310" applyFont="1" applyFill="1"/>
    <xf numFmtId="0" fontId="22" fillId="0" borderId="0" xfId="310" applyFont="1" applyFill="1" applyAlignment="1">
      <alignment horizontal="center"/>
    </xf>
    <xf numFmtId="164" fontId="21" fillId="0" borderId="0" xfId="160" applyNumberFormat="1" applyFont="1" applyFill="1"/>
    <xf numFmtId="0" fontId="19" fillId="0" borderId="0" xfId="310" applyFont="1" applyFill="1" applyAlignment="1">
      <alignment horizontal="center"/>
    </xf>
    <xf numFmtId="0" fontId="19" fillId="0" borderId="0" xfId="160" applyNumberFormat="1" applyFont="1" applyFill="1" applyAlignment="1">
      <alignment horizontal="center"/>
    </xf>
    <xf numFmtId="0" fontId="19" fillId="0" borderId="0" xfId="310" applyFont="1" applyFill="1"/>
    <xf numFmtId="43" fontId="21" fillId="0" borderId="0" xfId="160" applyFont="1" applyFill="1"/>
    <xf numFmtId="0" fontId="21" fillId="0" borderId="0" xfId="310" quotePrefix="1" applyFont="1" applyFill="1" applyAlignment="1">
      <alignment horizontal="center"/>
    </xf>
    <xf numFmtId="164" fontId="21" fillId="0" borderId="19" xfId="160" applyNumberFormat="1" applyFont="1" applyFill="1" applyBorder="1"/>
    <xf numFmtId="164" fontId="21" fillId="0" borderId="0" xfId="160" applyNumberFormat="1" applyFont="1" applyFill="1" applyBorder="1"/>
    <xf numFmtId="164" fontId="21" fillId="0" borderId="0" xfId="310" applyNumberFormat="1" applyFont="1" applyFill="1"/>
    <xf numFmtId="164" fontId="21" fillId="0" borderId="20" xfId="160" applyNumberFormat="1" applyFont="1" applyFill="1" applyBorder="1"/>
    <xf numFmtId="0" fontId="21" fillId="0" borderId="0" xfId="310" applyFont="1" applyFill="1" applyAlignment="1">
      <alignment horizontal="center"/>
    </xf>
    <xf numFmtId="164" fontId="21" fillId="0" borderId="21" xfId="160" applyNumberFormat="1" applyFont="1" applyFill="1" applyBorder="1"/>
    <xf numFmtId="164" fontId="19" fillId="0" borderId="0" xfId="160" applyNumberFormat="1" applyFont="1" applyFill="1"/>
    <xf numFmtId="49" fontId="21" fillId="0" borderId="0" xfId="310" applyNumberFormat="1" applyFont="1" applyFill="1"/>
    <xf numFmtId="49" fontId="19" fillId="0" borderId="0" xfId="310" applyNumberFormat="1" applyFont="1" applyFill="1"/>
    <xf numFmtId="164" fontId="21" fillId="0" borderId="18" xfId="160" applyNumberFormat="1" applyFont="1" applyFill="1" applyBorder="1"/>
    <xf numFmtId="164" fontId="21" fillId="0" borderId="0" xfId="310" applyNumberFormat="1" applyFont="1" applyFill="1" applyAlignment="1">
      <alignment horizontal="center"/>
    </xf>
    <xf numFmtId="49" fontId="21" fillId="0" borderId="0" xfId="160" applyNumberFormat="1" applyFont="1" applyFill="1"/>
    <xf numFmtId="43" fontId="21" fillId="0" borderId="0" xfId="160" applyNumberFormat="1" applyFont="1" applyFill="1" applyBorder="1"/>
    <xf numFmtId="0" fontId="21" fillId="0" borderId="0" xfId="310" applyFont="1"/>
    <xf numFmtId="0" fontId="21" fillId="0" borderId="0" xfId="310" applyFont="1" applyFill="1" applyAlignment="1">
      <alignment horizontal="centerContinuous"/>
    </xf>
    <xf numFmtId="0" fontId="19" fillId="0" borderId="0" xfId="310" applyFont="1" applyFill="1" applyBorder="1" applyAlignment="1"/>
    <xf numFmtId="0" fontId="19" fillId="0" borderId="0" xfId="310" applyFont="1" applyFill="1" applyBorder="1" applyAlignment="1">
      <alignment horizontal="center"/>
    </xf>
    <xf numFmtId="0" fontId="21" fillId="0" borderId="0" xfId="310" applyFont="1" applyFill="1" applyBorder="1"/>
    <xf numFmtId="0" fontId="21" fillId="0" borderId="0" xfId="310" applyNumberFormat="1" applyFont="1" applyAlignment="1">
      <alignment horizontal="left" vertical="top"/>
    </xf>
    <xf numFmtId="0" fontId="19" fillId="0" borderId="0" xfId="160" quotePrefix="1" applyNumberFormat="1" applyFont="1" applyAlignment="1">
      <alignment horizontal="left" vertical="top"/>
    </xf>
    <xf numFmtId="0" fontId="19" fillId="0" borderId="0" xfId="160" applyNumberFormat="1" applyFont="1" applyAlignment="1">
      <alignment horizontal="center"/>
    </xf>
    <xf numFmtId="0" fontId="19" fillId="0" borderId="0" xfId="310" applyFont="1" applyAlignment="1">
      <alignment horizontal="center"/>
    </xf>
    <xf numFmtId="0" fontId="21" fillId="0" borderId="0" xfId="310" applyFont="1" applyAlignment="1">
      <alignment horizontal="left"/>
    </xf>
    <xf numFmtId="0" fontId="22" fillId="0" borderId="0" xfId="310" applyFont="1" applyAlignment="1">
      <alignment horizontal="center"/>
    </xf>
    <xf numFmtId="164" fontId="21" fillId="0" borderId="0" xfId="160" applyNumberFormat="1" applyFont="1" applyAlignment="1">
      <alignment horizontal="left"/>
    </xf>
    <xf numFmtId="0" fontId="19" fillId="0" borderId="0" xfId="310" applyNumberFormat="1" applyFont="1" applyAlignment="1">
      <alignment vertical="top"/>
    </xf>
    <xf numFmtId="164" fontId="21" fillId="0" borderId="0" xfId="160" applyNumberFormat="1" applyFont="1"/>
    <xf numFmtId="164" fontId="21" fillId="0" borderId="0" xfId="160" applyNumberFormat="1" applyFont="1" applyFill="1" applyAlignment="1">
      <alignment horizontal="centerContinuous"/>
    </xf>
    <xf numFmtId="0" fontId="21" fillId="0" borderId="0" xfId="309" applyFont="1" applyFill="1" applyAlignment="1"/>
    <xf numFmtId="0" fontId="21" fillId="0" borderId="0" xfId="309" quotePrefix="1" applyFont="1" applyFill="1" applyAlignment="1">
      <alignment horizontal="center"/>
    </xf>
    <xf numFmtId="164" fontId="19" fillId="0" borderId="0" xfId="160" applyNumberFormat="1" applyFont="1" applyFill="1" applyBorder="1"/>
    <xf numFmtId="0" fontId="19" fillId="0" borderId="0" xfId="310" applyFont="1" applyFill="1" applyAlignment="1">
      <alignment horizontal="left"/>
    </xf>
    <xf numFmtId="0" fontId="21" fillId="0" borderId="0" xfId="310" applyNumberFormat="1" applyFont="1" applyAlignment="1">
      <alignment vertical="top"/>
    </xf>
    <xf numFmtId="0" fontId="21" fillId="0" borderId="0" xfId="0" applyNumberFormat="1" applyFont="1" applyAlignment="1">
      <alignment vertical="top"/>
    </xf>
    <xf numFmtId="0" fontId="19" fillId="0" borderId="0" xfId="310" applyFont="1" applyAlignment="1">
      <alignment horizontal="left"/>
    </xf>
    <xf numFmtId="0" fontId="21" fillId="0" borderId="0" xfId="0" applyFont="1" applyAlignment="1">
      <alignment vertical="top"/>
    </xf>
    <xf numFmtId="0" fontId="21" fillId="0" borderId="0" xfId="310" quotePrefix="1" applyFont="1" applyFill="1" applyAlignment="1">
      <alignment horizontal="left"/>
    </xf>
    <xf numFmtId="164" fontId="21" fillId="0" borderId="2" xfId="160" applyNumberFormat="1" applyFont="1" applyFill="1" applyBorder="1"/>
    <xf numFmtId="49" fontId="21" fillId="0" borderId="0" xfId="310" quotePrefix="1" applyNumberFormat="1" applyFont="1" applyFill="1" applyAlignment="1">
      <alignment horizontal="left"/>
    </xf>
    <xf numFmtId="0" fontId="21" fillId="0" borderId="0" xfId="310" applyFont="1" applyFill="1" applyAlignment="1"/>
    <xf numFmtId="164" fontId="19" fillId="0" borderId="0" xfId="160" applyNumberFormat="1" applyFont="1" applyFill="1" applyAlignment="1">
      <alignment vertical="top"/>
    </xf>
    <xf numFmtId="49" fontId="21" fillId="0" borderId="0" xfId="160" applyNumberFormat="1" applyFont="1" applyFill="1" applyAlignment="1">
      <alignment horizontal="centerContinuous"/>
    </xf>
    <xf numFmtId="0" fontId="22" fillId="0" borderId="0" xfId="310" applyFont="1" applyAlignment="1">
      <alignment horizontal="left"/>
    </xf>
    <xf numFmtId="0" fontId="21" fillId="0" borderId="0" xfId="201" applyNumberFormat="1" applyFont="1" applyAlignment="1"/>
    <xf numFmtId="0" fontId="19" fillId="0" borderId="0" xfId="310" applyNumberFormat="1" applyFont="1" applyAlignment="1">
      <alignment horizontal="left" vertical="top"/>
    </xf>
    <xf numFmtId="0" fontId="21" fillId="0" borderId="0" xfId="310" applyFont="1" applyAlignment="1">
      <alignment vertical="top"/>
    </xf>
    <xf numFmtId="0" fontId="19" fillId="0" borderId="0" xfId="310" applyFont="1" applyFill="1" applyAlignment="1">
      <alignment vertical="top"/>
    </xf>
    <xf numFmtId="43" fontId="21" fillId="0" borderId="0" xfId="310" applyNumberFormat="1" applyFont="1" applyAlignment="1">
      <alignment vertical="top"/>
    </xf>
    <xf numFmtId="0" fontId="23" fillId="0" borderId="0" xfId="310" applyFont="1" applyAlignment="1">
      <alignment horizontal="center" vertical="top"/>
    </xf>
    <xf numFmtId="0" fontId="19" fillId="0" borderId="0" xfId="310" applyFont="1" applyAlignment="1">
      <alignment horizontal="center" vertical="top"/>
    </xf>
    <xf numFmtId="0" fontId="19" fillId="0" borderId="0" xfId="310" applyNumberFormat="1" applyFont="1" applyFill="1" applyAlignment="1">
      <alignment vertical="top"/>
    </xf>
    <xf numFmtId="0" fontId="21" fillId="0" borderId="0" xfId="304" applyFont="1" applyAlignment="1"/>
    <xf numFmtId="0" fontId="21" fillId="0" borderId="0" xfId="0" applyFont="1" applyFill="1" applyAlignment="1">
      <alignment vertical="top"/>
    </xf>
    <xf numFmtId="0" fontId="21" fillId="0" borderId="0" xfId="0" applyNumberFormat="1" applyFont="1" applyFill="1" applyAlignment="1">
      <alignment vertical="top"/>
    </xf>
    <xf numFmtId="0" fontId="19" fillId="0" borderId="0" xfId="0" applyFont="1"/>
    <xf numFmtId="0" fontId="21" fillId="0" borderId="0" xfId="306" applyFont="1" applyFill="1" applyAlignment="1"/>
    <xf numFmtId="37" fontId="21" fillId="0" borderId="0" xfId="304" applyNumberFormat="1" applyFont="1" applyAlignment="1"/>
    <xf numFmtId="164" fontId="21" fillId="0" borderId="0" xfId="160" applyNumberFormat="1" applyFont="1" applyFill="1" applyBorder="1" applyAlignment="1"/>
    <xf numFmtId="0" fontId="21" fillId="0" borderId="0" xfId="309" applyNumberFormat="1" applyFont="1" applyFill="1" applyAlignment="1"/>
    <xf numFmtId="0" fontId="21" fillId="0" borderId="0" xfId="310" applyFont="1" applyBorder="1" applyAlignment="1">
      <alignment vertical="top"/>
    </xf>
    <xf numFmtId="0" fontId="21" fillId="0" borderId="0" xfId="309" applyFont="1" applyFill="1" applyAlignment="1">
      <alignment horizontal="center"/>
    </xf>
    <xf numFmtId="164" fontId="21" fillId="0" borderId="0" xfId="160" applyNumberFormat="1" applyFont="1" applyFill="1" applyAlignment="1">
      <alignment horizontal="center"/>
    </xf>
    <xf numFmtId="0" fontId="21" fillId="0" borderId="0" xfId="304" applyFont="1" applyBorder="1" applyAlignment="1"/>
    <xf numFmtId="0" fontId="21" fillId="0" borderId="0" xfId="306" quotePrefix="1" applyFont="1" applyFill="1" applyAlignment="1"/>
    <xf numFmtId="49" fontId="21" fillId="0" borderId="0" xfId="310" applyNumberFormat="1" applyFont="1" applyFill="1" applyAlignment="1">
      <alignment horizontal="center"/>
    </xf>
    <xf numFmtId="41" fontId="21" fillId="0" borderId="0" xfId="160" applyNumberFormat="1" applyFont="1" applyFill="1" applyAlignment="1">
      <alignment horizontal="left"/>
    </xf>
    <xf numFmtId="0" fontId="21" fillId="0" borderId="0" xfId="310" applyFont="1" applyFill="1" applyAlignment="1">
      <alignment vertical="top"/>
    </xf>
    <xf numFmtId="39" fontId="21" fillId="0" borderId="0" xfId="310" applyNumberFormat="1" applyFont="1"/>
    <xf numFmtId="0" fontId="21" fillId="0" borderId="0" xfId="0" applyFont="1" applyFill="1"/>
    <xf numFmtId="0" fontId="21" fillId="0" borderId="0" xfId="0" applyFont="1"/>
    <xf numFmtId="0" fontId="21" fillId="0" borderId="0" xfId="310" applyNumberFormat="1" applyFont="1" applyFill="1" applyAlignment="1">
      <alignment vertical="top"/>
    </xf>
    <xf numFmtId="164" fontId="21" fillId="0" borderId="0" xfId="160" quotePrefix="1" applyNumberFormat="1" applyFont="1" applyFill="1" applyAlignment="1">
      <alignment horizontal="center"/>
    </xf>
    <xf numFmtId="1" fontId="21" fillId="0" borderId="0" xfId="310" quotePrefix="1" applyNumberFormat="1" applyFont="1" applyFill="1" applyAlignment="1">
      <alignment horizontal="center"/>
    </xf>
    <xf numFmtId="1" fontId="21" fillId="0" borderId="0" xfId="310" applyNumberFormat="1" applyFont="1" applyFill="1" applyAlignment="1">
      <alignment horizontal="center"/>
    </xf>
    <xf numFmtId="170" fontId="21" fillId="0" borderId="0" xfId="306" applyNumberFormat="1" applyFont="1" applyFill="1" applyBorder="1" applyAlignment="1"/>
    <xf numFmtId="37" fontId="19" fillId="0" borderId="0" xfId="0" applyNumberFormat="1" applyFont="1" applyFill="1" applyAlignment="1" applyProtection="1"/>
    <xf numFmtId="37" fontId="21" fillId="0" borderId="0" xfId="0" applyNumberFormat="1" applyFont="1" applyProtection="1"/>
    <xf numFmtId="37" fontId="19" fillId="0" borderId="0" xfId="0" applyNumberFormat="1" applyFont="1" applyFill="1" applyAlignment="1" applyProtection="1">
      <alignment vertical="top"/>
    </xf>
    <xf numFmtId="37" fontId="21" fillId="0" borderId="0" xfId="0" applyNumberFormat="1" applyFont="1" applyFill="1" applyProtection="1"/>
    <xf numFmtId="0" fontId="21" fillId="0" borderId="0" xfId="305" applyFont="1" applyFill="1"/>
    <xf numFmtId="164" fontId="21" fillId="0" borderId="0" xfId="160" applyNumberFormat="1" applyFont="1" applyFill="1" applyAlignment="1" applyProtection="1">
      <alignment horizontal="right"/>
    </xf>
    <xf numFmtId="164" fontId="21" fillId="0" borderId="0" xfId="160" applyNumberFormat="1" applyFont="1" applyFill="1" applyBorder="1" applyAlignment="1" applyProtection="1">
      <alignment horizontal="right"/>
    </xf>
    <xf numFmtId="37" fontId="21" fillId="0" borderId="0" xfId="0" applyNumberFormat="1" applyFont="1" applyFill="1" applyAlignment="1" applyProtection="1">
      <alignment horizontal="left"/>
    </xf>
    <xf numFmtId="164" fontId="21" fillId="0" borderId="0" xfId="0" applyNumberFormat="1" applyFont="1"/>
    <xf numFmtId="0" fontId="19" fillId="0" borderId="0" xfId="160" applyNumberFormat="1" applyFont="1" applyAlignment="1"/>
    <xf numFmtId="164" fontId="21" fillId="0" borderId="23" xfId="160" applyNumberFormat="1" applyFont="1" applyFill="1" applyBorder="1"/>
    <xf numFmtId="0" fontId="19" fillId="0" borderId="0" xfId="160" applyNumberFormat="1" applyFont="1" applyAlignment="1">
      <alignment horizontal="left" vertical="top"/>
    </xf>
    <xf numFmtId="0" fontId="19" fillId="0" borderId="0" xfId="309" applyNumberFormat="1" applyFont="1" applyFill="1" applyAlignment="1"/>
    <xf numFmtId="0" fontId="19" fillId="0" borderId="0" xfId="306" applyFont="1" applyFill="1" applyAlignment="1"/>
    <xf numFmtId="164" fontId="27" fillId="0" borderId="0" xfId="160" applyNumberFormat="1" applyFont="1" applyFill="1"/>
    <xf numFmtId="0" fontId="19" fillId="0" borderId="0" xfId="160" applyNumberFormat="1" applyFont="1" applyFill="1" applyAlignment="1">
      <alignment vertical="top"/>
    </xf>
    <xf numFmtId="164" fontId="21" fillId="0" borderId="22" xfId="160" applyNumberFormat="1" applyFont="1" applyFill="1" applyBorder="1"/>
    <xf numFmtId="0" fontId="19" fillId="0" borderId="0" xfId="0" applyNumberFormat="1" applyFont="1" applyFill="1" applyAlignment="1">
      <alignment horizontal="left" vertical="top" indent="1"/>
    </xf>
    <xf numFmtId="0" fontId="21" fillId="0" borderId="0" xfId="0" applyNumberFormat="1" applyFont="1" applyFill="1" applyAlignment="1">
      <alignment horizontal="left" vertical="top"/>
    </xf>
    <xf numFmtId="0" fontId="21" fillId="0" borderId="0" xfId="0" applyNumberFormat="1" applyFont="1" applyFill="1" applyAlignment="1">
      <alignment horizontal="left" vertical="top" indent="1"/>
    </xf>
    <xf numFmtId="49" fontId="19" fillId="0" borderId="0" xfId="160" applyNumberFormat="1" applyFont="1" applyFill="1"/>
    <xf numFmtId="0" fontId="22" fillId="0" borderId="0" xfId="310" applyFont="1" applyFill="1" applyAlignment="1"/>
    <xf numFmtId="0" fontId="19" fillId="0" borderId="0" xfId="306" applyNumberFormat="1" applyFont="1" applyFill="1" applyAlignment="1"/>
    <xf numFmtId="0" fontId="21" fillId="0" borderId="0" xfId="306" applyNumberFormat="1" applyFont="1" applyFill="1" applyAlignment="1"/>
    <xf numFmtId="0" fontId="19" fillId="0" borderId="0" xfId="310" applyNumberFormat="1" applyFont="1" applyFill="1" applyAlignment="1"/>
    <xf numFmtId="0" fontId="19" fillId="0" borderId="0" xfId="0" applyNumberFormat="1" applyFont="1" applyFill="1" applyAlignment="1" applyProtection="1">
      <alignment vertical="top"/>
    </xf>
    <xf numFmtId="0" fontId="19" fillId="0" borderId="0" xfId="160" applyNumberFormat="1" applyFont="1" applyAlignment="1">
      <alignment vertical="top"/>
    </xf>
    <xf numFmtId="0" fontId="19" fillId="0" borderId="0" xfId="310" quotePrefix="1" applyNumberFormat="1" applyFont="1" applyAlignment="1">
      <alignment horizontal="left" vertical="top"/>
    </xf>
    <xf numFmtId="0" fontId="60" fillId="0" borderId="0" xfId="303" applyFont="1" applyBorder="1" applyAlignment="1"/>
    <xf numFmtId="0" fontId="21" fillId="0" borderId="0" xfId="304" applyFont="1" applyFill="1" applyAlignment="1"/>
    <xf numFmtId="0" fontId="21" fillId="0" borderId="0" xfId="304" applyFont="1" applyFill="1" applyBorder="1" applyAlignment="1"/>
    <xf numFmtId="164" fontId="21" fillId="0" borderId="24" xfId="160" applyNumberFormat="1" applyFont="1" applyFill="1" applyBorder="1"/>
    <xf numFmtId="164" fontId="21" fillId="0" borderId="25" xfId="160" applyNumberFormat="1" applyFont="1" applyFill="1" applyBorder="1"/>
    <xf numFmtId="164" fontId="21" fillId="0" borderId="26" xfId="160" applyNumberFormat="1" applyFont="1" applyFill="1" applyBorder="1"/>
    <xf numFmtId="164" fontId="21" fillId="0" borderId="27" xfId="160" applyNumberFormat="1" applyFont="1" applyFill="1" applyBorder="1"/>
    <xf numFmtId="164" fontId="21" fillId="0" borderId="15" xfId="160" applyNumberFormat="1" applyFont="1" applyFill="1" applyBorder="1"/>
    <xf numFmtId="164" fontId="21" fillId="0" borderId="28" xfId="160" applyNumberFormat="1" applyFont="1" applyFill="1" applyBorder="1"/>
    <xf numFmtId="164" fontId="21" fillId="0" borderId="0" xfId="160" applyNumberFormat="1" applyFont="1" applyFill="1" applyAlignment="1">
      <alignment horizontal="justify" vertical="top"/>
    </xf>
    <xf numFmtId="164" fontId="21" fillId="0" borderId="0" xfId="160" applyNumberFormat="1" applyFont="1" applyFill="1" applyBorder="1" applyAlignment="1">
      <alignment horizontal="justify" vertical="top"/>
    </xf>
    <xf numFmtId="164" fontId="21" fillId="0" borderId="18" xfId="310" applyNumberFormat="1" applyFont="1" applyFill="1" applyBorder="1" applyAlignment="1">
      <alignment horizontal="justify" vertical="top"/>
    </xf>
    <xf numFmtId="164" fontId="21" fillId="0" borderId="0" xfId="160" applyNumberFormat="1" applyFont="1" applyAlignment="1"/>
    <xf numFmtId="164" fontId="21" fillId="0" borderId="0" xfId="305" applyNumberFormat="1" applyFont="1" applyFill="1"/>
    <xf numFmtId="164" fontId="21" fillId="29" borderId="0" xfId="160" applyNumberFormat="1" applyFont="1" applyFill="1"/>
    <xf numFmtId="164" fontId="19" fillId="29" borderId="18" xfId="160" applyNumberFormat="1" applyFont="1" applyFill="1" applyBorder="1"/>
    <xf numFmtId="164" fontId="19" fillId="29" borderId="29" xfId="160" applyNumberFormat="1" applyFont="1" applyFill="1" applyBorder="1"/>
    <xf numFmtId="0" fontId="21" fillId="0" borderId="0" xfId="0" applyFont="1" applyBorder="1" applyAlignment="1">
      <alignment horizontal="centerContinuous"/>
    </xf>
    <xf numFmtId="0" fontId="8" fillId="0" borderId="0" xfId="310" applyFont="1" applyFill="1" applyAlignment="1">
      <alignment horizontal="centerContinuous"/>
    </xf>
    <xf numFmtId="0" fontId="76" fillId="0" borderId="0" xfId="310" applyFont="1" applyAlignment="1">
      <alignment horizontal="center"/>
    </xf>
    <xf numFmtId="0" fontId="8" fillId="0" borderId="0" xfId="310" applyFont="1"/>
    <xf numFmtId="0" fontId="77" fillId="0" borderId="0" xfId="310" applyFont="1" applyAlignment="1">
      <alignment horizontal="center"/>
    </xf>
    <xf numFmtId="0" fontId="76" fillId="0" borderId="0" xfId="160" applyNumberFormat="1" applyFont="1" applyAlignment="1">
      <alignment horizontal="center"/>
    </xf>
    <xf numFmtId="164" fontId="8" fillId="0" borderId="0" xfId="160" applyNumberFormat="1" applyFont="1"/>
    <xf numFmtId="164" fontId="8" fillId="0" borderId="0" xfId="160" applyNumberFormat="1" applyFont="1" applyFill="1"/>
    <xf numFmtId="0" fontId="8" fillId="0" borderId="0" xfId="310" applyFont="1" applyFill="1"/>
    <xf numFmtId="164" fontId="8" fillId="0" borderId="0" xfId="310" applyNumberFormat="1" applyFont="1"/>
    <xf numFmtId="164" fontId="8" fillId="0" borderId="0" xfId="160" applyNumberFormat="1" applyFont="1" applyFill="1" applyBorder="1"/>
    <xf numFmtId="0" fontId="8" fillId="0" borderId="0" xfId="160" applyNumberFormat="1" applyFont="1" applyFill="1" applyAlignment="1">
      <alignment horizontal="center"/>
    </xf>
    <xf numFmtId="164" fontId="8" fillId="0" borderId="0" xfId="160" applyNumberFormat="1" applyFont="1" applyFill="1" applyAlignment="1">
      <alignment vertical="center"/>
    </xf>
    <xf numFmtId="164" fontId="76" fillId="0" borderId="0" xfId="160" applyNumberFormat="1" applyFont="1" applyFill="1"/>
    <xf numFmtId="49" fontId="8" fillId="0" borderId="0" xfId="160" applyNumberFormat="1" applyFont="1" applyFill="1"/>
    <xf numFmtId="164" fontId="8" fillId="0" borderId="0" xfId="176" applyNumberFormat="1" applyFont="1" applyFill="1"/>
    <xf numFmtId="49" fontId="8" fillId="0" borderId="0" xfId="310" applyNumberFormat="1" applyFont="1" applyAlignment="1"/>
    <xf numFmtId="49" fontId="8" fillId="0" borderId="0" xfId="160" applyNumberFormat="1" applyFont="1" applyFill="1" applyAlignment="1">
      <alignment vertical="center"/>
    </xf>
    <xf numFmtId="49" fontId="8" fillId="0" borderId="0" xfId="160" applyNumberFormat="1" applyFont="1" applyFill="1" applyAlignment="1">
      <alignment horizontal="left" indent="1"/>
    </xf>
    <xf numFmtId="49" fontId="76" fillId="0" borderId="0" xfId="160" applyNumberFormat="1" applyFont="1" applyFill="1"/>
    <xf numFmtId="164" fontId="8" fillId="0" borderId="18" xfId="160" applyNumberFormat="1" applyFont="1" applyFill="1" applyBorder="1"/>
    <xf numFmtId="0" fontId="8" fillId="0" borderId="0" xfId="160" applyNumberFormat="1" applyFont="1" applyFill="1" applyAlignment="1">
      <alignment horizontal="left" indent="1"/>
    </xf>
    <xf numFmtId="37" fontId="8" fillId="0" borderId="0" xfId="0" applyNumberFormat="1" applyFont="1" applyFill="1" applyProtection="1"/>
    <xf numFmtId="164" fontId="8" fillId="0" borderId="0" xfId="160" applyNumberFormat="1" applyFont="1" applyFill="1" applyAlignment="1" applyProtection="1">
      <alignment horizontal="right"/>
    </xf>
    <xf numFmtId="17" fontId="78" fillId="0" borderId="0" xfId="0" applyNumberFormat="1" applyFont="1" applyFill="1" applyBorder="1" applyAlignment="1">
      <alignment horizontal="center"/>
    </xf>
    <xf numFmtId="164" fontId="76" fillId="0" borderId="0" xfId="160" applyNumberFormat="1" applyFont="1" applyFill="1" applyAlignment="1">
      <alignment horizontal="center"/>
    </xf>
    <xf numFmtId="0" fontId="8" fillId="0" borderId="0" xfId="0" applyFont="1"/>
    <xf numFmtId="0" fontId="8" fillId="0" borderId="0" xfId="0" applyFont="1" applyFill="1"/>
    <xf numFmtId="0" fontId="8" fillId="0" borderId="0" xfId="0" applyFont="1" applyFill="1" applyAlignment="1">
      <alignment horizontal="left" indent="1"/>
    </xf>
    <xf numFmtId="164" fontId="8" fillId="0" borderId="0" xfId="160" applyNumberFormat="1" applyFont="1" applyFill="1" applyBorder="1" applyAlignment="1" applyProtection="1">
      <alignment horizontal="right"/>
    </xf>
    <xf numFmtId="164" fontId="8" fillId="0" borderId="0" xfId="160" applyNumberFormat="1" applyFont="1" applyFill="1" applyBorder="1" applyAlignment="1" applyProtection="1">
      <alignment horizontal="right" vertical="center"/>
    </xf>
    <xf numFmtId="164" fontId="8" fillId="0" borderId="0" xfId="160" applyNumberFormat="1" applyFont="1" applyFill="1" applyAlignment="1">
      <alignment horizontal="right"/>
    </xf>
    <xf numFmtId="168" fontId="8" fillId="0" borderId="0" xfId="160" applyNumberFormat="1" applyFont="1" applyFill="1" applyAlignment="1">
      <alignment horizontal="right"/>
    </xf>
    <xf numFmtId="0" fontId="8" fillId="30" borderId="0" xfId="0" applyFont="1" applyFill="1"/>
    <xf numFmtId="37" fontId="8" fillId="0" borderId="0" xfId="0" applyNumberFormat="1" applyFont="1" applyFill="1" applyBorder="1" applyAlignment="1" applyProtection="1">
      <alignment horizontal="right"/>
    </xf>
    <xf numFmtId="0" fontId="8" fillId="0" borderId="0" xfId="305" applyFont="1" applyFill="1"/>
    <xf numFmtId="37" fontId="76" fillId="0" borderId="0" xfId="0" applyNumberFormat="1" applyFont="1" applyFill="1" applyAlignment="1" applyProtection="1"/>
    <xf numFmtId="0" fontId="76" fillId="0" borderId="0" xfId="310" applyFont="1" applyFill="1"/>
    <xf numFmtId="39" fontId="8" fillId="0" borderId="0" xfId="310" applyNumberFormat="1" applyFont="1"/>
    <xf numFmtId="41" fontId="21" fillId="0" borderId="0" xfId="160" applyNumberFormat="1" applyFont="1"/>
    <xf numFmtId="164" fontId="21" fillId="31" borderId="0" xfId="160" applyNumberFormat="1" applyFont="1" applyFill="1"/>
    <xf numFmtId="174" fontId="19" fillId="0" borderId="30" xfId="160" applyNumberFormat="1" applyFont="1" applyFill="1" applyBorder="1" applyAlignment="1">
      <alignment horizontal="center"/>
    </xf>
    <xf numFmtId="164" fontId="19" fillId="0" borderId="18" xfId="160" applyNumberFormat="1" applyFont="1" applyFill="1" applyBorder="1"/>
    <xf numFmtId="164" fontId="19" fillId="0" borderId="29" xfId="160" applyNumberFormat="1" applyFont="1" applyFill="1" applyBorder="1"/>
    <xf numFmtId="37" fontId="76" fillId="0" borderId="0" xfId="0" applyNumberFormat="1" applyFont="1" applyFill="1" applyProtection="1"/>
    <xf numFmtId="43" fontId="21" fillId="0" borderId="0" xfId="310" quotePrefix="1" applyNumberFormat="1" applyFont="1" applyFill="1" applyAlignment="1">
      <alignment horizontal="left"/>
    </xf>
    <xf numFmtId="164" fontId="19" fillId="30" borderId="18" xfId="160" applyNumberFormat="1" applyFont="1" applyFill="1" applyBorder="1"/>
    <xf numFmtId="16" fontId="21" fillId="0" borderId="0" xfId="310" quotePrefix="1" applyNumberFormat="1" applyFont="1" applyFill="1" applyAlignment="1">
      <alignment horizontal="center"/>
    </xf>
    <xf numFmtId="0" fontId="0" fillId="0" borderId="0" xfId="0" applyAlignment="1">
      <alignment vertical="top" wrapText="1"/>
    </xf>
    <xf numFmtId="0" fontId="26" fillId="0" borderId="0" xfId="0" applyFont="1"/>
    <xf numFmtId="164" fontId="21" fillId="0" borderId="0" xfId="160" quotePrefix="1" applyNumberFormat="1" applyFont="1" applyFill="1" applyBorder="1" applyAlignment="1">
      <alignment horizontal="left"/>
    </xf>
    <xf numFmtId="0" fontId="21" fillId="0" borderId="0" xfId="310" applyFont="1" applyAlignment="1">
      <alignment horizontal="center"/>
    </xf>
    <xf numFmtId="0" fontId="21" fillId="0" borderId="0" xfId="201" applyNumberFormat="1" applyFont="1" applyAlignment="1">
      <alignment horizontal="left"/>
    </xf>
    <xf numFmtId="0" fontId="21" fillId="0" borderId="0" xfId="201" applyNumberFormat="1" applyFont="1" applyAlignment="1">
      <alignment horizontal="left" indent="1"/>
    </xf>
    <xf numFmtId="43" fontId="21" fillId="0" borderId="0" xfId="160" applyFont="1"/>
    <xf numFmtId="0" fontId="19" fillId="0" borderId="0" xfId="310" applyFont="1"/>
    <xf numFmtId="0" fontId="21" fillId="0" borderId="0" xfId="160" applyNumberFormat="1" applyFont="1" applyFill="1" applyAlignment="1">
      <alignment horizontal="center"/>
    </xf>
    <xf numFmtId="49" fontId="21" fillId="0" borderId="0" xfId="310" quotePrefix="1" applyNumberFormat="1" applyFont="1" applyAlignment="1">
      <alignment horizontal="center"/>
    </xf>
    <xf numFmtId="164" fontId="21" fillId="0" borderId="0" xfId="160" quotePrefix="1" applyNumberFormat="1" applyFont="1" applyFill="1"/>
    <xf numFmtId="0" fontId="21" fillId="0" borderId="0" xfId="310" applyFont="1" applyAlignment="1">
      <alignment horizontal="center" vertical="center"/>
    </xf>
    <xf numFmtId="164" fontId="21" fillId="0" borderId="18" xfId="160" applyNumberFormat="1" applyFont="1" applyFill="1" applyBorder="1" applyAlignment="1">
      <alignment vertical="center"/>
    </xf>
    <xf numFmtId="49" fontId="19" fillId="0" borderId="0" xfId="310" applyNumberFormat="1" applyFont="1" applyAlignment="1">
      <alignment vertical="center"/>
    </xf>
    <xf numFmtId="0" fontId="19" fillId="0" borderId="0" xfId="310" applyFont="1" applyAlignment="1">
      <alignment vertical="center"/>
    </xf>
    <xf numFmtId="0" fontId="21" fillId="0" borderId="0" xfId="310" applyFont="1" applyAlignment="1">
      <alignment vertical="center"/>
    </xf>
    <xf numFmtId="164" fontId="21" fillId="0" borderId="0" xfId="160" applyNumberFormat="1" applyFont="1" applyFill="1" applyBorder="1" applyAlignment="1">
      <alignment vertical="center"/>
    </xf>
    <xf numFmtId="49" fontId="19" fillId="0" borderId="0" xfId="0" applyNumberFormat="1" applyFont="1" applyFill="1" applyAlignment="1" applyProtection="1">
      <alignment horizontal="center"/>
    </xf>
    <xf numFmtId="0" fontId="19" fillId="0" borderId="0" xfId="310" quotePrefix="1" applyFont="1" applyAlignment="1">
      <alignment horizontal="center"/>
    </xf>
    <xf numFmtId="17" fontId="59" fillId="0" borderId="0" xfId="0" applyNumberFormat="1" applyFont="1" applyFill="1" applyBorder="1" applyAlignment="1">
      <alignment horizontal="center"/>
    </xf>
    <xf numFmtId="37" fontId="21" fillId="0" borderId="0" xfId="0" applyNumberFormat="1" applyFont="1" applyFill="1" applyAlignment="1" applyProtection="1">
      <alignment horizontal="right"/>
    </xf>
    <xf numFmtId="0" fontId="21" fillId="0" borderId="0" xfId="0" applyFont="1" applyFill="1" applyAlignment="1">
      <alignment horizontal="left"/>
    </xf>
    <xf numFmtId="164" fontId="21" fillId="0" borderId="19" xfId="160" applyNumberFormat="1" applyFont="1" applyFill="1" applyBorder="1" applyAlignment="1" applyProtection="1">
      <alignment horizontal="right"/>
    </xf>
    <xf numFmtId="164" fontId="21" fillId="0" borderId="20" xfId="160" applyNumberFormat="1" applyFont="1" applyFill="1" applyBorder="1" applyAlignment="1" applyProtection="1">
      <alignment horizontal="right"/>
    </xf>
    <xf numFmtId="164" fontId="21" fillId="0" borderId="21" xfId="160" applyNumberFormat="1" applyFont="1" applyFill="1" applyBorder="1" applyAlignment="1" applyProtection="1">
      <alignment horizontal="right"/>
    </xf>
    <xf numFmtId="164" fontId="21" fillId="0" borderId="0" xfId="160" applyNumberFormat="1" applyFont="1" applyFill="1" applyBorder="1" applyAlignment="1" applyProtection="1">
      <alignment horizontal="right" vertical="center"/>
    </xf>
    <xf numFmtId="164" fontId="21" fillId="0" borderId="2" xfId="160" applyNumberFormat="1" applyFont="1" applyFill="1" applyBorder="1" applyAlignment="1" applyProtection="1">
      <alignment horizontal="right" vertical="center"/>
    </xf>
    <xf numFmtId="0" fontId="21" fillId="0" borderId="0" xfId="0" applyFont="1" applyFill="1" applyAlignment="1">
      <alignment horizontal="left" indent="1"/>
    </xf>
    <xf numFmtId="164" fontId="21" fillId="0" borderId="0" xfId="160" applyNumberFormat="1" applyFont="1" applyFill="1" applyAlignment="1">
      <alignment horizontal="right"/>
    </xf>
    <xf numFmtId="0" fontId="21" fillId="30" borderId="0" xfId="0" applyFont="1" applyFill="1"/>
    <xf numFmtId="0" fontId="21" fillId="0" borderId="0" xfId="307" applyFont="1" applyFill="1" applyAlignment="1"/>
    <xf numFmtId="37" fontId="21" fillId="0" borderId="0" xfId="0" applyNumberFormat="1" applyFont="1" applyFill="1" applyBorder="1" applyAlignment="1" applyProtection="1">
      <alignment horizontal="right"/>
    </xf>
    <xf numFmtId="0" fontId="21" fillId="0" borderId="0" xfId="307" applyFont="1" applyFill="1" applyAlignment="1">
      <alignment horizontal="left" indent="1"/>
    </xf>
    <xf numFmtId="164" fontId="21" fillId="0" borderId="19" xfId="160" applyNumberFormat="1" applyFont="1" applyBorder="1"/>
    <xf numFmtId="164" fontId="21" fillId="0" borderId="20" xfId="160" applyNumberFormat="1" applyFont="1" applyBorder="1"/>
    <xf numFmtId="49" fontId="21" fillId="0" borderId="0" xfId="310" applyNumberFormat="1" applyFont="1" applyAlignment="1"/>
    <xf numFmtId="164" fontId="21" fillId="0" borderId="21" xfId="176" applyNumberFormat="1" applyFont="1" applyFill="1" applyBorder="1"/>
    <xf numFmtId="164" fontId="21" fillId="0" borderId="21" xfId="160" applyNumberFormat="1" applyFont="1" applyBorder="1"/>
    <xf numFmtId="164" fontId="21" fillId="0" borderId="0" xfId="0" applyNumberFormat="1" applyFont="1" applyFill="1"/>
    <xf numFmtId="37" fontId="21" fillId="0" borderId="0" xfId="0" applyNumberFormat="1" applyFont="1" applyFill="1" applyAlignment="1" applyProtection="1"/>
    <xf numFmtId="173" fontId="21" fillId="0" borderId="0" xfId="160" applyNumberFormat="1" applyFont="1" applyFill="1"/>
    <xf numFmtId="168" fontId="21" fillId="0" borderId="0" xfId="160" applyNumberFormat="1" applyFont="1" applyFill="1"/>
    <xf numFmtId="164" fontId="19" fillId="0" borderId="31" xfId="160" quotePrefix="1" applyNumberFormat="1" applyFont="1" applyFill="1" applyBorder="1" applyAlignment="1"/>
    <xf numFmtId="164" fontId="19" fillId="0" borderId="0" xfId="160" quotePrefix="1" applyNumberFormat="1" applyFont="1" applyFill="1" applyBorder="1" applyAlignment="1"/>
    <xf numFmtId="174" fontId="19" fillId="0" borderId="0" xfId="160" applyNumberFormat="1" applyFont="1" applyFill="1" applyBorder="1" applyAlignment="1">
      <alignment horizontal="center"/>
    </xf>
    <xf numFmtId="164" fontId="21" fillId="0" borderId="1" xfId="160" applyNumberFormat="1" applyFont="1" applyFill="1" applyBorder="1"/>
    <xf numFmtId="0" fontId="26" fillId="0" borderId="0" xfId="0" applyFont="1" applyFill="1"/>
    <xf numFmtId="0" fontId="82" fillId="0" borderId="0" xfId="0" applyFont="1" applyFill="1"/>
    <xf numFmtId="0" fontId="59" fillId="0" borderId="0" xfId="0" applyFont="1" applyFill="1"/>
    <xf numFmtId="49" fontId="21" fillId="0" borderId="0" xfId="310" applyNumberFormat="1" applyFont="1" applyFill="1" applyAlignment="1">
      <alignment horizontal="left" indent="1"/>
    </xf>
    <xf numFmtId="0" fontId="21" fillId="0" borderId="0" xfId="310" applyFont="1" applyAlignment="1">
      <alignment horizontal="left" indent="2"/>
    </xf>
    <xf numFmtId="0" fontId="21" fillId="0" borderId="0" xfId="310" applyFont="1" applyFill="1" applyAlignment="1">
      <alignment horizontal="left" indent="2"/>
    </xf>
    <xf numFmtId="0" fontId="21" fillId="0" borderId="0" xfId="0" applyFont="1" applyFill="1" applyAlignment="1">
      <alignment horizontal="left" indent="2"/>
    </xf>
    <xf numFmtId="0" fontId="21" fillId="0" borderId="0" xfId="310" applyFont="1" applyAlignment="1">
      <alignment horizontal="left" indent="1"/>
    </xf>
    <xf numFmtId="0" fontId="19" fillId="0" borderId="0" xfId="0" applyNumberFormat="1" applyFont="1" applyFill="1"/>
    <xf numFmtId="0" fontId="21" fillId="0" borderId="0" xfId="310" applyFont="1" applyFill="1" applyAlignment="1">
      <alignment horizontal="left" indent="1"/>
    </xf>
    <xf numFmtId="49" fontId="21" fillId="0" borderId="0" xfId="160" applyNumberFormat="1" applyFont="1" applyFill="1" applyAlignment="1">
      <alignment horizontal="left" indent="1"/>
    </xf>
    <xf numFmtId="0" fontId="19" fillId="0" borderId="0" xfId="0" applyFont="1" applyFill="1"/>
    <xf numFmtId="0" fontId="19" fillId="0" borderId="0" xfId="0" applyFont="1" applyFill="1" applyAlignment="1">
      <alignment horizontal="left"/>
    </xf>
    <xf numFmtId="0" fontId="19" fillId="0" borderId="0" xfId="310" applyFont="1" applyAlignment="1">
      <alignment horizontal="left" indent="1"/>
    </xf>
    <xf numFmtId="164" fontId="26" fillId="0" borderId="0" xfId="160" applyNumberFormat="1" applyFont="1" applyFill="1"/>
    <xf numFmtId="164" fontId="26" fillId="0" borderId="0" xfId="160" applyNumberFormat="1" applyFont="1" applyFill="1" applyBorder="1"/>
    <xf numFmtId="0" fontId="26" fillId="0" borderId="0" xfId="0" applyFont="1" applyFill="1" applyBorder="1"/>
    <xf numFmtId="0" fontId="83" fillId="0" borderId="1" xfId="0" applyNumberFormat="1" applyFont="1" applyBorder="1" applyAlignment="1">
      <alignment horizontal="center" vertical="center" wrapText="1"/>
    </xf>
    <xf numFmtId="0" fontId="21" fillId="30" borderId="0" xfId="310" applyFont="1" applyFill="1"/>
    <xf numFmtId="164" fontId="21" fillId="30" borderId="0" xfId="160" applyNumberFormat="1" applyFont="1" applyFill="1" applyBorder="1"/>
    <xf numFmtId="0" fontId="19" fillId="0" borderId="0" xfId="310" applyFont="1" applyFill="1" applyAlignment="1">
      <alignment horizontal="center" vertical="center" wrapText="1"/>
    </xf>
    <xf numFmtId="0" fontId="84" fillId="0" borderId="0" xfId="310" applyFont="1"/>
    <xf numFmtId="0" fontId="85" fillId="0" borderId="0" xfId="310" applyFont="1" applyAlignment="1">
      <alignment horizontal="center"/>
    </xf>
    <xf numFmtId="0" fontId="86" fillId="0" borderId="0" xfId="310" applyFont="1" applyAlignment="1">
      <alignment horizontal="center"/>
    </xf>
    <xf numFmtId="0" fontId="86" fillId="0" borderId="0" xfId="310" applyFont="1"/>
    <xf numFmtId="0" fontId="84" fillId="0" borderId="0" xfId="310" applyFont="1" applyFill="1"/>
    <xf numFmtId="164" fontId="84" fillId="0" borderId="0" xfId="160" applyNumberFormat="1" applyFont="1"/>
    <xf numFmtId="0" fontId="84" fillId="0" borderId="0" xfId="201" applyNumberFormat="1" applyFont="1" applyAlignment="1"/>
    <xf numFmtId="0" fontId="84" fillId="0" borderId="0" xfId="310" applyFont="1" applyAlignment="1">
      <alignment horizontal="center"/>
    </xf>
    <xf numFmtId="43" fontId="84" fillId="0" borderId="0" xfId="160" applyFont="1" applyFill="1"/>
    <xf numFmtId="164" fontId="84" fillId="0" borderId="0" xfId="310" applyNumberFormat="1" applyFont="1"/>
    <xf numFmtId="164" fontId="84" fillId="0" borderId="0" xfId="160" applyNumberFormat="1" applyFont="1" applyFill="1" applyBorder="1"/>
    <xf numFmtId="0" fontId="84" fillId="0" borderId="0" xfId="310" applyFont="1" applyFill="1" applyAlignment="1">
      <alignment horizontal="center"/>
    </xf>
    <xf numFmtId="43" fontId="84" fillId="0" borderId="0" xfId="160" applyFont="1"/>
    <xf numFmtId="164" fontId="84" fillId="0" borderId="23" xfId="160" applyNumberFormat="1" applyFont="1" applyFill="1" applyBorder="1"/>
    <xf numFmtId="0" fontId="84" fillId="0" borderId="0" xfId="310" applyFont="1" applyAlignment="1">
      <alignment horizontal="left" indent="1"/>
    </xf>
    <xf numFmtId="0" fontId="84" fillId="0" borderId="0" xfId="201" applyNumberFormat="1" applyFont="1" applyAlignment="1">
      <alignment horizontal="left" indent="1"/>
    </xf>
    <xf numFmtId="0" fontId="86" fillId="0" borderId="0" xfId="160" applyNumberFormat="1" applyFont="1" applyAlignment="1"/>
    <xf numFmtId="0" fontId="84" fillId="0" borderId="0" xfId="201" applyNumberFormat="1" applyFont="1" applyFill="1" applyAlignment="1"/>
    <xf numFmtId="0" fontId="84" fillId="0" borderId="0" xfId="160" applyNumberFormat="1" applyFont="1" applyFill="1" applyAlignment="1">
      <alignment horizontal="center"/>
    </xf>
    <xf numFmtId="49" fontId="84" fillId="0" borderId="0" xfId="310" quotePrefix="1" applyNumberFormat="1" applyFont="1" applyAlignment="1">
      <alignment horizontal="center"/>
    </xf>
    <xf numFmtId="49" fontId="84" fillId="0" borderId="0" xfId="310" applyNumberFormat="1" applyFont="1" applyFill="1" applyAlignment="1">
      <alignment horizontal="center"/>
    </xf>
    <xf numFmtId="1" fontId="84" fillId="0" borderId="0" xfId="310" quotePrefix="1" applyNumberFormat="1" applyFont="1" applyAlignment="1">
      <alignment horizontal="center"/>
    </xf>
    <xf numFmtId="0" fontId="84" fillId="0" borderId="0" xfId="310" applyFont="1" applyAlignment="1">
      <alignment horizontal="center" vertical="center"/>
    </xf>
    <xf numFmtId="164" fontId="84" fillId="0" borderId="18" xfId="160" applyNumberFormat="1" applyFont="1" applyFill="1" applyBorder="1" applyAlignment="1">
      <alignment vertical="center"/>
    </xf>
    <xf numFmtId="164" fontId="84" fillId="0" borderId="0" xfId="160" applyNumberFormat="1" applyFont="1" applyFill="1" applyAlignment="1">
      <alignment vertical="center"/>
    </xf>
    <xf numFmtId="0" fontId="84" fillId="0" borderId="0" xfId="310" applyFont="1" applyAlignment="1">
      <alignment vertical="center"/>
    </xf>
    <xf numFmtId="49" fontId="86" fillId="0" borderId="0" xfId="310" applyNumberFormat="1" applyFont="1" applyAlignment="1">
      <alignment vertical="center"/>
    </xf>
    <xf numFmtId="164" fontId="84" fillId="0" borderId="0" xfId="160" applyNumberFormat="1" applyFont="1" applyFill="1" applyBorder="1" applyAlignment="1">
      <alignment vertical="center"/>
    </xf>
    <xf numFmtId="49" fontId="86" fillId="0" borderId="0" xfId="310" applyNumberFormat="1" applyFont="1"/>
    <xf numFmtId="164" fontId="84" fillId="0" borderId="0" xfId="310" applyNumberFormat="1" applyFont="1" applyFill="1"/>
    <xf numFmtId="43" fontId="84" fillId="0" borderId="0" xfId="160" applyFont="1" applyFill="1" applyBorder="1"/>
    <xf numFmtId="0" fontId="26" fillId="0" borderId="0" xfId="0" applyFont="1" applyAlignment="1">
      <alignment vertical="top" wrapText="1"/>
    </xf>
    <xf numFmtId="0" fontId="26" fillId="0" borderId="0" xfId="0" applyFont="1" applyAlignment="1">
      <alignment vertical="top"/>
    </xf>
    <xf numFmtId="0" fontId="86" fillId="0" borderId="0" xfId="310" quotePrefix="1" applyFont="1" applyFill="1" applyAlignment="1">
      <alignment horizontal="center"/>
    </xf>
    <xf numFmtId="0" fontId="26" fillId="0" borderId="0" xfId="0" applyFont="1" applyFill="1" applyAlignment="1">
      <alignment vertical="top"/>
    </xf>
    <xf numFmtId="0" fontId="19" fillId="0" borderId="0" xfId="0" applyFont="1" applyAlignment="1"/>
    <xf numFmtId="0" fontId="8" fillId="0" borderId="0" xfId="0" applyFont="1" applyAlignment="1">
      <alignment horizontal="center" vertical="top" wrapText="1"/>
    </xf>
    <xf numFmtId="164" fontId="8" fillId="0" borderId="0" xfId="160" applyNumberFormat="1" applyFont="1" applyFill="1" applyAlignment="1">
      <alignment horizontal="left" indent="1"/>
    </xf>
    <xf numFmtId="0" fontId="8" fillId="0" borderId="0" xfId="310" applyFont="1" applyBorder="1"/>
    <xf numFmtId="0" fontId="19" fillId="0" borderId="0" xfId="0" applyFont="1" applyFill="1" applyBorder="1"/>
    <xf numFmtId="0" fontId="26" fillId="0" borderId="0" xfId="0" applyFont="1" applyFill="1" applyAlignment="1">
      <alignment horizontal="justify" vertical="top"/>
    </xf>
    <xf numFmtId="0" fontId="22" fillId="0" borderId="0" xfId="310" applyFont="1" applyFill="1" applyAlignment="1">
      <alignment horizontal="centerContinuous"/>
    </xf>
    <xf numFmtId="0" fontId="19" fillId="0" borderId="0" xfId="0" applyFont="1" applyAlignment="1">
      <alignment horizontal="centerContinuous"/>
    </xf>
    <xf numFmtId="0" fontId="19" fillId="0" borderId="0" xfId="310" applyFont="1" applyFill="1" applyBorder="1" applyAlignment="1">
      <alignment horizontal="centerContinuous"/>
    </xf>
    <xf numFmtId="164" fontId="26" fillId="0" borderId="0" xfId="0" applyNumberFormat="1" applyFont="1" applyAlignment="1">
      <alignment vertical="top" wrapText="1"/>
    </xf>
    <xf numFmtId="0" fontId="21" fillId="0" borderId="0" xfId="310" applyFont="1" applyFill="1" applyBorder="1" applyAlignment="1"/>
    <xf numFmtId="0" fontId="26" fillId="33" borderId="0" xfId="0" applyFont="1" applyFill="1"/>
    <xf numFmtId="164" fontId="26" fillId="33" borderId="0" xfId="0" applyNumberFormat="1" applyFont="1" applyFill="1"/>
    <xf numFmtId="164" fontId="26" fillId="0" borderId="0" xfId="160" applyNumberFormat="1" applyFont="1"/>
    <xf numFmtId="164" fontId="26" fillId="0" borderId="0" xfId="0" applyNumberFormat="1" applyFont="1"/>
    <xf numFmtId="164" fontId="26" fillId="0" borderId="0" xfId="0" applyNumberFormat="1" applyFont="1" applyFill="1"/>
    <xf numFmtId="164" fontId="8" fillId="0" borderId="18" xfId="160" applyNumberFormat="1" applyFont="1" applyBorder="1"/>
    <xf numFmtId="164" fontId="0" fillId="0" borderId="0" xfId="0" applyNumberFormat="1"/>
    <xf numFmtId="0" fontId="76" fillId="0" borderId="0" xfId="310" quotePrefix="1" applyFont="1" applyFill="1" applyAlignment="1"/>
    <xf numFmtId="0" fontId="76" fillId="0" borderId="32" xfId="310" quotePrefix="1" applyFont="1" applyFill="1" applyBorder="1" applyAlignment="1"/>
    <xf numFmtId="0" fontId="76" fillId="0" borderId="7" xfId="310" quotePrefix="1" applyFont="1" applyFill="1" applyBorder="1" applyAlignment="1"/>
    <xf numFmtId="0" fontId="76" fillId="0" borderId="33" xfId="310" quotePrefix="1" applyFont="1" applyFill="1" applyBorder="1" applyAlignment="1"/>
    <xf numFmtId="0" fontId="21" fillId="0" borderId="0" xfId="310" applyFont="1" applyFill="1" applyAlignment="1">
      <alignment horizontal="center"/>
    </xf>
    <xf numFmtId="174" fontId="19" fillId="0" borderId="1" xfId="160" applyNumberFormat="1" applyFont="1" applyFill="1" applyBorder="1" applyAlignment="1">
      <alignment horizontal="center" wrapText="1"/>
    </xf>
    <xf numFmtId="164" fontId="19" fillId="0" borderId="1" xfId="160" applyNumberFormat="1" applyFont="1" applyFill="1" applyBorder="1" applyAlignment="1">
      <alignment horizontal="center" vertical="center"/>
    </xf>
    <xf numFmtId="0" fontId="21" fillId="0" borderId="0" xfId="310" applyFont="1" applyFill="1" applyAlignment="1">
      <alignment horizontal="left"/>
    </xf>
    <xf numFmtId="49" fontId="21" fillId="0" borderId="0" xfId="310" quotePrefix="1" applyNumberFormat="1" applyFont="1" applyFill="1" applyAlignment="1">
      <alignment horizontal="center"/>
    </xf>
    <xf numFmtId="0" fontId="14" fillId="0" borderId="0" xfId="0" applyFont="1"/>
    <xf numFmtId="164" fontId="84" fillId="0" borderId="21" xfId="160" applyNumberFormat="1" applyFont="1" applyFill="1" applyBorder="1"/>
    <xf numFmtId="0" fontId="19" fillId="0" borderId="0" xfId="386" applyNumberFormat="1" applyFont="1" applyFill="1" applyAlignment="1">
      <alignment vertical="center"/>
    </xf>
    <xf numFmtId="0" fontId="88" fillId="0" borderId="0" xfId="387" applyFont="1" applyFill="1" applyAlignment="1"/>
    <xf numFmtId="0" fontId="19" fillId="0" borderId="0" xfId="387" applyFont="1" applyFill="1" applyAlignment="1"/>
    <xf numFmtId="0" fontId="21" fillId="0" borderId="0" xfId="387" applyFont="1"/>
    <xf numFmtId="0" fontId="0" fillId="0" borderId="0" xfId="265" applyFont="1" applyAlignment="1"/>
    <xf numFmtId="164" fontId="89" fillId="0" borderId="0" xfId="387" applyNumberFormat="1" applyFont="1"/>
    <xf numFmtId="0" fontId="19" fillId="0" borderId="23" xfId="387" applyFont="1" applyFill="1" applyBorder="1" applyAlignment="1"/>
    <xf numFmtId="0" fontId="19" fillId="0" borderId="23" xfId="387" applyFont="1" applyBorder="1"/>
    <xf numFmtId="0" fontId="19" fillId="0" borderId="0" xfId="387" applyFont="1" applyFill="1" applyBorder="1" applyAlignment="1"/>
    <xf numFmtId="0" fontId="19" fillId="0" borderId="0" xfId="387" applyFont="1" applyBorder="1"/>
    <xf numFmtId="0" fontId="90" fillId="0" borderId="0" xfId="386" applyFont="1" applyFill="1" applyAlignment="1"/>
    <xf numFmtId="0" fontId="90" fillId="0" borderId="0" xfId="386" applyFont="1" applyFill="1" applyAlignment="1">
      <alignment horizontal="center" vertical="center" wrapText="1"/>
    </xf>
    <xf numFmtId="0" fontId="76" fillId="0" borderId="2" xfId="265" quotePrefix="1" applyFont="1" applyBorder="1" applyAlignment="1">
      <alignment vertical="top"/>
    </xf>
    <xf numFmtId="0" fontId="76" fillId="0" borderId="2" xfId="160" applyNumberFormat="1" applyFont="1" applyBorder="1" applyAlignment="1">
      <alignment horizontal="center"/>
    </xf>
    <xf numFmtId="0" fontId="76" fillId="0" borderId="0" xfId="265" quotePrefix="1" applyFont="1" applyBorder="1" applyAlignment="1">
      <alignment vertical="top"/>
    </xf>
    <xf numFmtId="0" fontId="91" fillId="0" borderId="0" xfId="386" applyFont="1" applyFill="1"/>
    <xf numFmtId="0" fontId="76" fillId="0" borderId="0" xfId="265" applyFont="1" applyBorder="1" applyAlignment="1">
      <alignment horizontal="center" vertical="center"/>
    </xf>
    <xf numFmtId="0" fontId="8" fillId="0" borderId="0" xfId="265" applyFont="1" applyBorder="1" applyAlignment="1">
      <alignment horizontal="center" vertical="center" wrapText="1"/>
    </xf>
    <xf numFmtId="0" fontId="76" fillId="0" borderId="0" xfId="160" applyNumberFormat="1" applyFont="1" applyBorder="1" applyAlignment="1">
      <alignment horizontal="center" vertical="center"/>
    </xf>
    <xf numFmtId="0" fontId="8" fillId="0" borderId="0" xfId="265" applyFont="1" applyBorder="1" applyAlignment="1">
      <alignment horizontal="center" vertical="top" wrapText="1"/>
    </xf>
    <xf numFmtId="0" fontId="76" fillId="0" borderId="0" xfId="387" applyFont="1" applyFill="1"/>
    <xf numFmtId="0" fontId="8" fillId="0" borderId="0" xfId="387" applyFont="1" applyFill="1"/>
    <xf numFmtId="0" fontId="76" fillId="0" borderId="0" xfId="312" applyFont="1" applyFill="1" applyAlignment="1">
      <alignment horizontal="left" vertical="top"/>
    </xf>
    <xf numFmtId="0" fontId="76" fillId="0" borderId="0" xfId="312" applyFont="1" applyFill="1" applyAlignment="1">
      <alignment horizontal="left" vertical="top" indent="1"/>
    </xf>
    <xf numFmtId="0" fontId="8" fillId="0" borderId="0" xfId="312" applyFont="1" applyFill="1" applyAlignment="1">
      <alignment horizontal="left" vertical="top" indent="1"/>
    </xf>
    <xf numFmtId="0" fontId="8" fillId="0" borderId="0" xfId="312" applyFont="1" applyFill="1" applyAlignment="1">
      <alignment horizontal="left" vertical="top"/>
    </xf>
    <xf numFmtId="0" fontId="21" fillId="0" borderId="0" xfId="388" applyFont="1" applyFill="1" applyAlignment="1">
      <alignment horizontal="left" vertical="top" indent="1"/>
    </xf>
    <xf numFmtId="0" fontId="26" fillId="0" borderId="0" xfId="265" applyFont="1" applyAlignment="1"/>
    <xf numFmtId="0" fontId="21" fillId="0" borderId="0" xfId="310" applyFont="1" applyFill="1" applyAlignment="1">
      <alignment horizontal="center"/>
    </xf>
    <xf numFmtId="0" fontId="21" fillId="0" borderId="0" xfId="201" applyNumberFormat="1" applyFont="1" applyFill="1" applyAlignment="1"/>
    <xf numFmtId="164" fontId="19" fillId="0" borderId="0" xfId="160" applyNumberFormat="1" applyFont="1" applyFill="1" applyAlignment="1">
      <alignment horizontal="right"/>
    </xf>
    <xf numFmtId="164" fontId="19" fillId="0" borderId="18" xfId="160" applyNumberFormat="1" applyFont="1" applyFill="1" applyBorder="1" applyAlignment="1" applyProtection="1">
      <alignment horizontal="right"/>
    </xf>
    <xf numFmtId="0" fontId="19" fillId="0" borderId="1" xfId="310" applyFont="1" applyBorder="1" applyAlignment="1">
      <alignment horizontal="center" vertical="center" wrapText="1"/>
    </xf>
    <xf numFmtId="0" fontId="83" fillId="0" borderId="23" xfId="0" applyNumberFormat="1" applyFont="1" applyBorder="1" applyAlignment="1">
      <alignment horizontal="center" vertical="center" wrapText="1"/>
    </xf>
    <xf numFmtId="0" fontId="8" fillId="0" borderId="0" xfId="310" applyFont="1" applyFill="1" applyAlignment="1">
      <alignment vertical="top"/>
    </xf>
    <xf numFmtId="0" fontId="83" fillId="0" borderId="0" xfId="0" applyFont="1"/>
    <xf numFmtId="37" fontId="21" fillId="0" borderId="0" xfId="310" applyNumberFormat="1" applyFont="1" applyFill="1" applyAlignment="1">
      <alignment horizontal="right" vertical="center" wrapText="1"/>
    </xf>
    <xf numFmtId="0" fontId="8" fillId="0" borderId="0" xfId="310" applyFont="1" applyAlignment="1">
      <alignment vertical="top"/>
    </xf>
    <xf numFmtId="1" fontId="84" fillId="0" borderId="0" xfId="310" applyNumberFormat="1" applyFont="1" applyFill="1" applyAlignment="1">
      <alignment horizontal="center"/>
    </xf>
    <xf numFmtId="1" fontId="84" fillId="0" borderId="0" xfId="160" applyNumberFormat="1" applyFont="1" applyFill="1" applyAlignment="1">
      <alignment horizontal="center"/>
    </xf>
    <xf numFmtId="164" fontId="84" fillId="0" borderId="19" xfId="160" applyNumberFormat="1" applyFont="1" applyFill="1" applyBorder="1"/>
    <xf numFmtId="164" fontId="84" fillId="0" borderId="20" xfId="160" applyNumberFormat="1" applyFont="1" applyFill="1" applyBorder="1"/>
    <xf numFmtId="164" fontId="84" fillId="0" borderId="21" xfId="160" applyNumberFormat="1" applyFont="1" applyBorder="1"/>
    <xf numFmtId="164" fontId="84" fillId="0" borderId="0" xfId="160" applyNumberFormat="1" applyFont="1" applyFill="1" applyBorder="1"/>
    <xf numFmtId="164" fontId="84" fillId="0" borderId="0" xfId="160" applyNumberFormat="1" applyFont="1" applyFill="1"/>
    <xf numFmtId="0" fontId="93" fillId="0" borderId="0" xfId="782" applyFont="1"/>
    <xf numFmtId="37" fontId="21" fillId="34" borderId="0" xfId="0" applyNumberFormat="1" applyFont="1" applyFill="1" applyProtection="1"/>
    <xf numFmtId="0" fontId="0" fillId="34" borderId="0" xfId="0" applyFill="1"/>
    <xf numFmtId="0" fontId="26" fillId="34" borderId="0" xfId="0" applyFont="1" applyFill="1"/>
    <xf numFmtId="0" fontId="21" fillId="0" borderId="0" xfId="310" applyFont="1" applyFill="1" applyAlignment="1">
      <alignment horizontal="center"/>
    </xf>
    <xf numFmtId="0" fontId="76" fillId="0" borderId="0" xfId="310" quotePrefix="1" applyFont="1" applyFill="1" applyAlignment="1">
      <alignment horizontal="center"/>
    </xf>
    <xf numFmtId="164" fontId="0" fillId="0" borderId="0" xfId="160" applyNumberFormat="1" applyFont="1"/>
    <xf numFmtId="37" fontId="21" fillId="0" borderId="0" xfId="0" applyNumberFormat="1" applyFont="1" applyFill="1" applyAlignment="1" applyProtection="1">
      <alignment horizontal="left" indent="1"/>
    </xf>
    <xf numFmtId="0" fontId="21" fillId="0" borderId="0" xfId="0" applyFont="1" applyAlignment="1">
      <alignment horizontal="left" indent="1"/>
    </xf>
    <xf numFmtId="164" fontId="21" fillId="0" borderId="0" xfId="193" applyNumberFormat="1" applyFont="1" applyFill="1" applyBorder="1" applyAlignment="1"/>
    <xf numFmtId="164" fontId="21" fillId="0" borderId="19" xfId="193" applyNumberFormat="1" applyFont="1" applyFill="1" applyBorder="1" applyAlignment="1"/>
    <xf numFmtId="164" fontId="21" fillId="0" borderId="20" xfId="193" applyNumberFormat="1" applyFont="1" applyFill="1" applyBorder="1" applyAlignment="1"/>
    <xf numFmtId="164" fontId="21" fillId="0" borderId="21" xfId="193" applyNumberFormat="1" applyFont="1" applyFill="1" applyBorder="1" applyAlignment="1"/>
    <xf numFmtId="0" fontId="21" fillId="0" borderId="0" xfId="0" applyFont="1" applyFill="1" applyBorder="1"/>
    <xf numFmtId="164" fontId="21" fillId="0" borderId="2" xfId="176" applyNumberFormat="1" applyFont="1" applyFill="1" applyBorder="1" applyAlignment="1" applyProtection="1">
      <alignment horizontal="right"/>
    </xf>
    <xf numFmtId="164" fontId="21" fillId="0" borderId="18" xfId="160" applyNumberFormat="1" applyFont="1" applyFill="1" applyBorder="1" applyAlignment="1" applyProtection="1">
      <alignment horizontal="right"/>
    </xf>
    <xf numFmtId="0" fontId="19" fillId="0" borderId="0" xfId="310" applyFont="1" applyFill="1" applyBorder="1"/>
    <xf numFmtId="0" fontId="19" fillId="0" borderId="0" xfId="310" quotePrefix="1" applyFont="1" applyFill="1" applyAlignment="1">
      <alignment horizontal="left"/>
    </xf>
    <xf numFmtId="0" fontId="21" fillId="0" borderId="0" xfId="310" quotePrefix="1" applyFont="1" applyAlignment="1">
      <alignment horizontal="left" indent="2"/>
    </xf>
    <xf numFmtId="43" fontId="0" fillId="0" borderId="0" xfId="160" applyFont="1"/>
    <xf numFmtId="0" fontId="19" fillId="0" borderId="0" xfId="388" applyFont="1" applyFill="1"/>
    <xf numFmtId="196" fontId="17" fillId="0" borderId="0" xfId="160" applyNumberFormat="1" applyFont="1" applyFill="1" applyAlignment="1">
      <alignment vertical="top"/>
    </xf>
    <xf numFmtId="164" fontId="21" fillId="0" borderId="18" xfId="308" applyNumberFormat="1" applyFont="1" applyFill="1" applyBorder="1" applyAlignment="1">
      <alignment horizontal="centerContinuous" vertical="top"/>
    </xf>
    <xf numFmtId="0" fontId="17" fillId="0" borderId="0" xfId="791" applyFont="1" applyFill="1"/>
    <xf numFmtId="164" fontId="21" fillId="0" borderId="0" xfId="160" applyNumberFormat="1" applyFont="1" applyFill="1" applyAlignment="1">
      <alignment horizontal="centerContinuous" vertical="top"/>
    </xf>
    <xf numFmtId="0" fontId="21" fillId="0" borderId="0" xfId="814" applyFont="1" applyFill="1" applyAlignment="1"/>
    <xf numFmtId="0" fontId="19" fillId="0" borderId="0" xfId="814" applyNumberFormat="1" applyFont="1" applyBorder="1" applyAlignment="1"/>
    <xf numFmtId="0" fontId="0" fillId="0" borderId="0" xfId="0"/>
    <xf numFmtId="0" fontId="19" fillId="0" borderId="0" xfId="310" applyFont="1" applyFill="1"/>
    <xf numFmtId="0" fontId="21" fillId="0" borderId="0" xfId="310" applyNumberFormat="1" applyFont="1" applyAlignment="1">
      <alignment horizontal="left" vertical="top"/>
    </xf>
    <xf numFmtId="0" fontId="19" fillId="0" borderId="0" xfId="310" applyNumberFormat="1" applyFont="1" applyAlignment="1">
      <alignment horizontal="left" vertical="top"/>
    </xf>
    <xf numFmtId="0" fontId="21" fillId="0" borderId="0" xfId="310" applyFont="1" applyAlignment="1">
      <alignment vertical="top"/>
    </xf>
    <xf numFmtId="0" fontId="21" fillId="0" borderId="0" xfId="0" applyFont="1"/>
    <xf numFmtId="1" fontId="19" fillId="0" borderId="0" xfId="160" applyNumberFormat="1" applyFont="1" applyFill="1" applyAlignment="1">
      <alignment horizontal="left"/>
    </xf>
    <xf numFmtId="186" fontId="21" fillId="0" borderId="0" xfId="310" applyNumberFormat="1" applyFont="1" applyFill="1" applyAlignment="1">
      <alignment horizontal="justify" vertical="top"/>
    </xf>
    <xf numFmtId="0" fontId="21" fillId="0" borderId="0" xfId="0" applyFont="1" applyFill="1" applyAlignment="1">
      <alignment horizontal="left" vertical="top"/>
    </xf>
    <xf numFmtId="186" fontId="21" fillId="0" borderId="0" xfId="0" applyNumberFormat="1" applyFont="1"/>
    <xf numFmtId="0" fontId="21" fillId="0" borderId="0" xfId="310" applyNumberFormat="1" applyFont="1" applyFill="1" applyAlignment="1">
      <alignment horizontal="centerContinuous" vertical="top"/>
    </xf>
    <xf numFmtId="0" fontId="21" fillId="0" borderId="0" xfId="0" applyNumberFormat="1" applyFont="1" applyFill="1" applyAlignment="1">
      <alignment horizontal="centerContinuous" vertical="top"/>
    </xf>
    <xf numFmtId="0" fontId="19" fillId="0" borderId="0" xfId="310" applyFont="1" applyAlignment="1">
      <alignment horizontal="center"/>
    </xf>
    <xf numFmtId="0" fontId="21" fillId="0" borderId="0" xfId="0" applyFont="1" applyAlignment="1">
      <alignment horizontal="center"/>
    </xf>
    <xf numFmtId="164" fontId="21" fillId="0" borderId="0" xfId="160" applyNumberFormat="1" applyFont="1" applyAlignment="1">
      <alignment vertical="top"/>
    </xf>
    <xf numFmtId="164" fontId="21" fillId="0" borderId="0" xfId="160" applyNumberFormat="1" applyFont="1" applyBorder="1" applyAlignment="1">
      <alignment vertical="top"/>
    </xf>
    <xf numFmtId="164" fontId="17" fillId="0" borderId="0" xfId="160" applyNumberFormat="1" applyFont="1" applyFill="1" applyAlignment="1">
      <alignment vertical="top"/>
    </xf>
    <xf numFmtId="196" fontId="19" fillId="0" borderId="0" xfId="160" applyNumberFormat="1" applyFont="1" applyFill="1" applyAlignment="1">
      <alignment horizontal="left"/>
    </xf>
    <xf numFmtId="1" fontId="19" fillId="0" borderId="0" xfId="160" applyNumberFormat="1" applyFont="1" applyFill="1" applyAlignment="1">
      <alignment horizontal="center"/>
    </xf>
    <xf numFmtId="49" fontId="19" fillId="0" borderId="0" xfId="311" applyNumberFormat="1" applyFont="1" applyFill="1"/>
    <xf numFmtId="43" fontId="86" fillId="0" borderId="18" xfId="160" applyFont="1" applyFill="1" applyBorder="1"/>
    <xf numFmtId="0" fontId="76" fillId="0" borderId="0" xfId="310" quotePrefix="1" applyFont="1" applyFill="1" applyAlignment="1">
      <alignment horizontal="center"/>
    </xf>
    <xf numFmtId="164" fontId="86" fillId="0" borderId="0" xfId="160" quotePrefix="1" applyNumberFormat="1" applyFont="1" applyFill="1" applyAlignment="1">
      <alignment horizontal="center"/>
    </xf>
    <xf numFmtId="0" fontId="86" fillId="0" borderId="0" xfId="0" applyFont="1" applyAlignment="1">
      <alignment horizontal="center"/>
    </xf>
    <xf numFmtId="0" fontId="0" fillId="0" borderId="0" xfId="0" applyFill="1" applyAlignment="1">
      <alignment vertical="top"/>
    </xf>
    <xf numFmtId="0" fontId="19" fillId="0" borderId="0" xfId="310" applyFont="1" applyFill="1" applyAlignment="1">
      <alignment horizontal="center"/>
    </xf>
    <xf numFmtId="164" fontId="19" fillId="32" borderId="19" xfId="160" quotePrefix="1" applyNumberFormat="1" applyFont="1" applyFill="1" applyBorder="1" applyAlignment="1">
      <alignment horizontal="center" vertical="center" wrapText="1"/>
    </xf>
    <xf numFmtId="0" fontId="19" fillId="32" borderId="20" xfId="160" applyNumberFormat="1" applyFont="1" applyFill="1" applyBorder="1" applyAlignment="1">
      <alignment horizontal="center"/>
    </xf>
    <xf numFmtId="0" fontId="19" fillId="32" borderId="21" xfId="310" quotePrefix="1" applyFont="1" applyFill="1" applyBorder="1" applyAlignment="1">
      <alignment horizontal="center"/>
    </xf>
    <xf numFmtId="0" fontId="21" fillId="0" borderId="0" xfId="310" applyFont="1" applyBorder="1" applyAlignment="1">
      <alignment horizontal="left"/>
    </xf>
    <xf numFmtId="164" fontId="86" fillId="32" borderId="1" xfId="160" quotePrefix="1" applyNumberFormat="1" applyFont="1" applyFill="1" applyBorder="1" applyAlignment="1">
      <alignment horizontal="center"/>
    </xf>
    <xf numFmtId="49" fontId="86" fillId="32" borderId="0" xfId="310" applyNumberFormat="1" applyFont="1" applyFill="1"/>
    <xf numFmtId="0" fontId="85" fillId="32" borderId="0" xfId="310" applyFont="1" applyFill="1" applyAlignment="1">
      <alignment horizontal="center"/>
    </xf>
    <xf numFmtId="43" fontId="86" fillId="32" borderId="22" xfId="160" applyFont="1" applyFill="1" applyBorder="1"/>
    <xf numFmtId="0" fontId="19" fillId="0" borderId="0" xfId="0" applyFont="1" applyFill="1" applyAlignment="1">
      <alignment horizontal="left" vertical="top"/>
    </xf>
    <xf numFmtId="0" fontId="19" fillId="0" borderId="0" xfId="0" applyNumberFormat="1" applyFont="1" applyFill="1" applyAlignment="1">
      <alignment vertical="top"/>
    </xf>
    <xf numFmtId="0" fontId="19" fillId="0" borderId="0" xfId="0" applyFont="1" applyFill="1" applyAlignment="1"/>
    <xf numFmtId="0" fontId="21" fillId="0" borderId="0" xfId="0" applyFont="1" applyFill="1" applyAlignment="1"/>
    <xf numFmtId="186" fontId="21" fillId="0" borderId="0" xfId="310" applyNumberFormat="1" applyFont="1" applyFill="1" applyAlignment="1">
      <alignment horizontal="left" vertical="top"/>
    </xf>
    <xf numFmtId="0" fontId="19" fillId="0" borderId="0" xfId="0" quotePrefix="1" applyFont="1" applyFill="1" applyAlignment="1">
      <alignment horizontal="left" vertical="top"/>
    </xf>
    <xf numFmtId="0" fontId="21" fillId="0" borderId="0" xfId="0" applyFont="1" applyFill="1" applyAlignment="1">
      <alignment vertical="top"/>
    </xf>
    <xf numFmtId="164" fontId="19" fillId="0" borderId="0" xfId="160" applyNumberFormat="1" applyFont="1" applyFill="1" applyAlignment="1">
      <alignment horizontal="center" vertical="top"/>
    </xf>
    <xf numFmtId="164" fontId="21" fillId="0" borderId="0" xfId="160" applyNumberFormat="1" applyFont="1" applyFill="1" applyAlignment="1">
      <alignment vertical="center"/>
    </xf>
    <xf numFmtId="43" fontId="21" fillId="0" borderId="0" xfId="160" applyNumberFormat="1" applyFont="1" applyFill="1"/>
    <xf numFmtId="43" fontId="21" fillId="0" borderId="0" xfId="160" applyNumberFormat="1" applyFont="1"/>
    <xf numFmtId="0" fontId="19" fillId="0" borderId="0" xfId="310" applyFont="1" applyFill="1" applyAlignment="1">
      <alignment horizontal="center"/>
    </xf>
    <xf numFmtId="0" fontId="0" fillId="0" borderId="0" xfId="0" applyFill="1" applyAlignment="1">
      <alignment vertical="top"/>
    </xf>
    <xf numFmtId="43" fontId="21" fillId="0" borderId="0" xfId="160" applyFont="1" applyFill="1" applyBorder="1"/>
    <xf numFmtId="0" fontId="76" fillId="0" borderId="0" xfId="310" quotePrefix="1" applyFont="1" applyFill="1" applyAlignment="1">
      <alignment horizontal="center"/>
    </xf>
    <xf numFmtId="0" fontId="19" fillId="0" borderId="0" xfId="310" applyFont="1" applyFill="1" applyAlignment="1">
      <alignment horizontal="center"/>
    </xf>
    <xf numFmtId="0" fontId="21" fillId="0" borderId="0" xfId="310" applyNumberFormat="1" applyFont="1" applyAlignment="1">
      <alignment horizontal="justify" vertical="top"/>
    </xf>
    <xf numFmtId="0" fontId="21" fillId="0" borderId="0" xfId="310" applyFont="1" applyFill="1" applyAlignment="1">
      <alignment horizontal="justify" vertical="top"/>
    </xf>
    <xf numFmtId="0" fontId="21" fillId="0" borderId="0" xfId="0" applyFont="1" applyAlignment="1">
      <alignment horizontal="justify" vertical="top" wrapText="1"/>
    </xf>
    <xf numFmtId="0" fontId="19" fillId="0" borderId="0" xfId="311" quotePrefix="1" applyNumberFormat="1" applyFont="1" applyAlignment="1">
      <alignment horizontal="left" vertical="top"/>
    </xf>
    <xf numFmtId="0" fontId="19" fillId="0" borderId="0" xfId="311" applyNumberFormat="1" applyFont="1" applyAlignment="1">
      <alignment vertical="top"/>
    </xf>
    <xf numFmtId="0" fontId="23" fillId="0" borderId="0" xfId="311" applyFont="1" applyAlignment="1">
      <alignment horizontal="center" vertical="top"/>
    </xf>
    <xf numFmtId="0" fontId="21" fillId="0" borderId="0" xfId="311" applyFont="1" applyAlignment="1">
      <alignment vertical="top"/>
    </xf>
    <xf numFmtId="0" fontId="19" fillId="0" borderId="0" xfId="311" applyFont="1" applyAlignment="1">
      <alignment vertical="top"/>
    </xf>
    <xf numFmtId="2" fontId="19" fillId="0" borderId="0" xfId="311" quotePrefix="1" applyNumberFormat="1" applyFont="1" applyAlignment="1">
      <alignment horizontal="left" vertical="top"/>
    </xf>
    <xf numFmtId="0" fontId="21" fillId="0" borderId="0" xfId="311" applyNumberFormat="1" applyFont="1" applyAlignment="1">
      <alignment horizontal="centerContinuous" vertical="top"/>
    </xf>
    <xf numFmtId="0" fontId="21" fillId="0" borderId="0" xfId="0" applyFont="1" applyFill="1" applyAlignment="1" applyProtection="1">
      <alignment vertical="top"/>
    </xf>
    <xf numFmtId="0" fontId="21" fillId="0" borderId="0" xfId="0" applyFont="1" applyAlignment="1" applyProtection="1"/>
    <xf numFmtId="0" fontId="21" fillId="0" borderId="0" xfId="311" applyFont="1" applyFill="1" applyBorder="1" applyAlignment="1">
      <alignment horizontal="justify" vertical="top"/>
    </xf>
    <xf numFmtId="0" fontId="21" fillId="0" borderId="0" xfId="297" applyFont="1" applyFill="1" applyBorder="1" applyAlignment="1"/>
    <xf numFmtId="0" fontId="19" fillId="0" borderId="0" xfId="160" quotePrefix="1" applyNumberFormat="1" applyFont="1" applyFill="1" applyAlignment="1">
      <alignment horizontal="center"/>
    </xf>
    <xf numFmtId="0" fontId="19" fillId="0" borderId="0" xfId="311" applyFont="1" applyFill="1" applyAlignment="1">
      <alignment horizontal="center"/>
    </xf>
    <xf numFmtId="37" fontId="19" fillId="0" borderId="0" xfId="0" applyNumberFormat="1" applyFont="1" applyFill="1" applyAlignment="1">
      <alignment horizontal="left"/>
    </xf>
    <xf numFmtId="0" fontId="19" fillId="0" borderId="0" xfId="0" applyFont="1" applyFill="1" applyAlignment="1">
      <alignment vertical="top" readingOrder="1"/>
    </xf>
    <xf numFmtId="0" fontId="21" fillId="0" borderId="0" xfId="160" applyNumberFormat="1" applyFont="1" applyFill="1" applyAlignment="1">
      <alignment vertical="top"/>
    </xf>
    <xf numFmtId="0" fontId="19" fillId="0" borderId="0" xfId="0" applyFont="1" applyFill="1" applyAlignment="1">
      <alignment horizontal="justify" vertical="justify" wrapText="1" readingOrder="1"/>
    </xf>
    <xf numFmtId="0" fontId="21" fillId="0" borderId="0" xfId="0" applyFont="1" applyFill="1" applyAlignment="1">
      <alignment vertical="top" readingOrder="1"/>
    </xf>
    <xf numFmtId="0" fontId="21" fillId="0" borderId="0" xfId="0" applyFont="1" applyFill="1" applyAlignment="1">
      <alignment horizontal="justify" vertical="justify" wrapText="1" readingOrder="1"/>
    </xf>
    <xf numFmtId="164" fontId="21" fillId="0" borderId="0" xfId="160" applyNumberFormat="1" applyFont="1" applyFill="1" applyBorder="1" applyAlignment="1">
      <alignment horizontal="centerContinuous" vertical="top"/>
    </xf>
    <xf numFmtId="0" fontId="19" fillId="0" borderId="0" xfId="160" quotePrefix="1" applyNumberFormat="1" applyFont="1" applyFill="1" applyAlignment="1"/>
    <xf numFmtId="0" fontId="21" fillId="0" borderId="0" xfId="831" applyFont="1" applyFill="1" applyAlignment="1">
      <alignment vertical="top"/>
    </xf>
    <xf numFmtId="0" fontId="21" fillId="0" borderId="0" xfId="831" applyFont="1" applyFill="1" applyAlignment="1">
      <alignment horizontal="left"/>
    </xf>
    <xf numFmtId="0" fontId="19" fillId="0" borderId="0" xfId="831" applyNumberFormat="1" applyFont="1" applyFill="1" applyAlignment="1"/>
    <xf numFmtId="0" fontId="19" fillId="0" borderId="0" xfId="832" applyFont="1" applyFill="1" applyAlignment="1"/>
    <xf numFmtId="0" fontId="19" fillId="0" borderId="0" xfId="831" applyFont="1" applyFill="1" applyAlignment="1"/>
    <xf numFmtId="0" fontId="19" fillId="0" borderId="0" xfId="833" applyNumberFormat="1" applyFont="1" applyFill="1" applyAlignment="1"/>
    <xf numFmtId="164" fontId="21" fillId="0" borderId="0" xfId="310" applyNumberFormat="1" applyFont="1" applyAlignment="1">
      <alignment vertical="top"/>
    </xf>
    <xf numFmtId="43" fontId="22" fillId="0" borderId="0" xfId="310" applyNumberFormat="1" applyFont="1" applyAlignment="1">
      <alignment horizontal="center"/>
    </xf>
    <xf numFmtId="43" fontId="22" fillId="0" borderId="0" xfId="310" applyNumberFormat="1" applyFont="1" applyFill="1" applyAlignment="1">
      <alignment horizontal="center"/>
    </xf>
    <xf numFmtId="43" fontId="86" fillId="0" borderId="0" xfId="160" applyFont="1" applyFill="1" applyBorder="1"/>
    <xf numFmtId="0" fontId="85" fillId="0" borderId="23" xfId="310" applyFont="1" applyBorder="1" applyAlignment="1">
      <alignment horizontal="center"/>
    </xf>
    <xf numFmtId="43" fontId="84" fillId="0" borderId="23" xfId="160" applyFont="1" applyFill="1" applyBorder="1"/>
    <xf numFmtId="0" fontId="86" fillId="0" borderId="25" xfId="310" applyFont="1" applyBorder="1"/>
    <xf numFmtId="0" fontId="85" fillId="0" borderId="0" xfId="310" applyFont="1" applyBorder="1" applyAlignment="1">
      <alignment horizontal="center"/>
    </xf>
    <xf numFmtId="43" fontId="86" fillId="0" borderId="29" xfId="160" applyFont="1" applyFill="1" applyBorder="1"/>
    <xf numFmtId="0" fontId="86" fillId="0" borderId="26" xfId="310" applyFont="1" applyBorder="1"/>
    <xf numFmtId="0" fontId="85" fillId="0" borderId="2" xfId="310" applyFont="1" applyBorder="1" applyAlignment="1">
      <alignment horizontal="center"/>
    </xf>
    <xf numFmtId="43" fontId="86" fillId="0" borderId="2" xfId="160" applyFont="1" applyFill="1" applyBorder="1"/>
    <xf numFmtId="43" fontId="86" fillId="0" borderId="28" xfId="160" applyFont="1" applyFill="1" applyBorder="1"/>
    <xf numFmtId="43" fontId="84" fillId="0" borderId="0" xfId="160" applyNumberFormat="1" applyFont="1" applyFill="1" applyBorder="1"/>
    <xf numFmtId="43" fontId="86" fillId="0" borderId="27" xfId="160" applyNumberFormat="1" applyFont="1" applyFill="1" applyBorder="1"/>
    <xf numFmtId="0" fontId="25" fillId="0" borderId="0" xfId="303" applyFont="1" applyBorder="1" applyAlignment="1"/>
    <xf numFmtId="0" fontId="7" fillId="0" borderId="0" xfId="303" applyFont="1" applyBorder="1" applyAlignment="1"/>
    <xf numFmtId="164" fontId="60" fillId="0" borderId="0" xfId="606" applyNumberFormat="1" applyFont="1" applyBorder="1" applyAlignment="1">
      <alignment horizontal="center"/>
    </xf>
    <xf numFmtId="0" fontId="0" fillId="0" borderId="0" xfId="0" applyBorder="1"/>
    <xf numFmtId="43" fontId="0" fillId="0" borderId="0" xfId="0" applyNumberFormat="1" applyBorder="1"/>
    <xf numFmtId="164" fontId="0" fillId="0" borderId="0" xfId="0" applyNumberFormat="1" applyBorder="1"/>
    <xf numFmtId="0" fontId="0" fillId="0" borderId="0" xfId="0" applyFill="1" applyBorder="1"/>
    <xf numFmtId="164" fontId="0" fillId="0" borderId="0" xfId="160" applyNumberFormat="1" applyFont="1" applyBorder="1"/>
    <xf numFmtId="0" fontId="0" fillId="32" borderId="0" xfId="0" applyFill="1" applyBorder="1"/>
    <xf numFmtId="164" fontId="0" fillId="32" borderId="0" xfId="160" applyNumberFormat="1" applyFont="1" applyFill="1" applyBorder="1"/>
    <xf numFmtId="43" fontId="0" fillId="0" borderId="0" xfId="160" applyFont="1" applyBorder="1"/>
    <xf numFmtId="199" fontId="0" fillId="0" borderId="0" xfId="0" applyNumberFormat="1"/>
    <xf numFmtId="199" fontId="0" fillId="0" borderId="0" xfId="0" applyNumberFormat="1" applyBorder="1"/>
    <xf numFmtId="0" fontId="15" fillId="0" borderId="0" xfId="0" applyFont="1"/>
    <xf numFmtId="164" fontId="0" fillId="32" borderId="0" xfId="0" applyNumberFormat="1" applyFill="1" applyBorder="1"/>
    <xf numFmtId="164" fontId="19" fillId="0" borderId="0" xfId="160" applyNumberFormat="1" applyFont="1" applyFill="1" applyAlignment="1">
      <alignment horizontal="center"/>
    </xf>
    <xf numFmtId="164" fontId="19" fillId="32" borderId="1" xfId="160" quotePrefix="1" applyNumberFormat="1" applyFont="1" applyFill="1" applyBorder="1" applyAlignment="1">
      <alignment horizontal="center" vertical="center" wrapText="1"/>
    </xf>
    <xf numFmtId="0" fontId="84" fillId="0" borderId="0" xfId="310" applyFont="1" applyAlignment="1">
      <alignment horizontal="center" vertical="top"/>
    </xf>
    <xf numFmtId="0" fontId="76" fillId="0" borderId="0" xfId="310" quotePrefix="1" applyFont="1" applyFill="1" applyAlignment="1">
      <alignment horizontal="center" vertical="top"/>
    </xf>
    <xf numFmtId="164" fontId="26" fillId="0" borderId="0" xfId="0" applyNumberFormat="1" applyFont="1" applyFill="1" applyAlignment="1">
      <alignment vertical="top"/>
    </xf>
    <xf numFmtId="173" fontId="19" fillId="0" borderId="22" xfId="160" applyNumberFormat="1" applyFont="1" applyFill="1" applyBorder="1"/>
    <xf numFmtId="0" fontId="19" fillId="0" borderId="1" xfId="160" applyNumberFormat="1" applyFont="1" applyFill="1" applyBorder="1" applyAlignment="1">
      <alignment horizontal="center"/>
    </xf>
    <xf numFmtId="173" fontId="19" fillId="0" borderId="0" xfId="310" applyNumberFormat="1" applyFont="1" applyFill="1" applyAlignment="1">
      <alignment horizontal="centerContinuous"/>
    </xf>
    <xf numFmtId="0" fontId="21" fillId="0" borderId="0" xfId="0" applyNumberFormat="1" applyFont="1" applyFill="1" applyAlignment="1">
      <alignment horizontal="justify" vertical="top" wrapText="1"/>
    </xf>
    <xf numFmtId="0" fontId="21" fillId="0" borderId="0" xfId="0" applyFont="1" applyFill="1" applyAlignment="1">
      <alignment horizontal="justify" vertical="top" wrapText="1"/>
    </xf>
    <xf numFmtId="0" fontId="21" fillId="0" borderId="0" xfId="311" applyFont="1" applyFill="1" applyBorder="1" applyAlignment="1">
      <alignment horizontal="justify" vertical="top"/>
    </xf>
    <xf numFmtId="0" fontId="21" fillId="0" borderId="0" xfId="310" applyFont="1" applyFill="1" applyAlignment="1">
      <alignment horizontal="justify" vertical="top"/>
    </xf>
    <xf numFmtId="0" fontId="19" fillId="0" borderId="0" xfId="160" applyNumberFormat="1" applyFont="1" applyFill="1" applyBorder="1" applyAlignment="1">
      <alignment horizontal="center"/>
    </xf>
    <xf numFmtId="173" fontId="19" fillId="0" borderId="0" xfId="160" applyNumberFormat="1" applyFont="1" applyFill="1" applyBorder="1"/>
    <xf numFmtId="164" fontId="19" fillId="32" borderId="1" xfId="160" applyNumberFormat="1" applyFont="1" applyFill="1" applyBorder="1" applyAlignment="1">
      <alignment horizontal="center" vertical="center" wrapText="1"/>
    </xf>
    <xf numFmtId="0" fontId="19" fillId="35" borderId="0" xfId="310" applyFont="1" applyFill="1" applyAlignment="1"/>
    <xf numFmtId="164" fontId="19" fillId="35" borderId="1" xfId="160" quotePrefix="1" applyNumberFormat="1" applyFont="1" applyFill="1" applyBorder="1" applyAlignment="1">
      <alignment horizontal="center" vertical="center" wrapText="1"/>
    </xf>
    <xf numFmtId="0" fontId="19" fillId="35" borderId="1" xfId="160" applyNumberFormat="1" applyFont="1" applyFill="1" applyBorder="1" applyAlignment="1">
      <alignment horizontal="center"/>
    </xf>
    <xf numFmtId="164" fontId="21" fillId="35" borderId="0" xfId="160" applyNumberFormat="1" applyFont="1" applyFill="1"/>
    <xf numFmtId="164" fontId="21" fillId="35" borderId="19" xfId="160" applyNumberFormat="1" applyFont="1" applyFill="1" applyBorder="1"/>
    <xf numFmtId="164" fontId="21" fillId="35" borderId="20" xfId="160" applyNumberFormat="1" applyFont="1" applyFill="1" applyBorder="1"/>
    <xf numFmtId="164" fontId="21" fillId="35" borderId="21" xfId="160" applyNumberFormat="1" applyFont="1" applyFill="1" applyBorder="1"/>
    <xf numFmtId="164" fontId="19" fillId="35" borderId="0" xfId="160" applyNumberFormat="1" applyFont="1" applyFill="1"/>
    <xf numFmtId="164" fontId="21" fillId="35" borderId="18" xfId="160" applyNumberFormat="1" applyFont="1" applyFill="1" applyBorder="1"/>
    <xf numFmtId="164" fontId="21" fillId="35" borderId="0" xfId="310" applyNumberFormat="1" applyFont="1" applyFill="1" applyAlignment="1">
      <alignment horizontal="center"/>
    </xf>
    <xf numFmtId="164" fontId="21" fillId="35" borderId="22" xfId="160" applyNumberFormat="1" applyFont="1" applyFill="1" applyBorder="1"/>
    <xf numFmtId="164" fontId="19" fillId="35" borderId="0" xfId="160" applyNumberFormat="1" applyFont="1" applyFill="1" applyBorder="1"/>
    <xf numFmtId="164" fontId="27" fillId="35" borderId="0" xfId="160" applyNumberFormat="1" applyFont="1" applyFill="1"/>
    <xf numFmtId="164" fontId="21" fillId="35" borderId="0" xfId="160" quotePrefix="1" applyNumberFormat="1" applyFont="1" applyFill="1" applyAlignment="1">
      <alignment horizontal="center"/>
    </xf>
    <xf numFmtId="164" fontId="19" fillId="35" borderId="0" xfId="160" applyNumberFormat="1" applyFont="1" applyFill="1" applyAlignment="1">
      <alignment horizontal="center"/>
    </xf>
    <xf numFmtId="43" fontId="21" fillId="35" borderId="22" xfId="160" applyNumberFormat="1" applyFont="1" applyFill="1" applyBorder="1"/>
    <xf numFmtId="43" fontId="21" fillId="35" borderId="0" xfId="160" applyNumberFormat="1" applyFont="1" applyFill="1" applyBorder="1"/>
    <xf numFmtId="164" fontId="21" fillId="35" borderId="0" xfId="160" applyNumberFormat="1" applyFont="1" applyFill="1" applyBorder="1"/>
    <xf numFmtId="0" fontId="19" fillId="35" borderId="0" xfId="310" applyFont="1" applyFill="1" applyAlignment="1">
      <alignment horizontal="centerContinuous"/>
    </xf>
    <xf numFmtId="0" fontId="19" fillId="35" borderId="0" xfId="310" applyFont="1" applyFill="1" applyAlignment="1">
      <alignment horizontal="center"/>
    </xf>
    <xf numFmtId="0" fontId="21" fillId="35" borderId="0" xfId="310" applyFont="1" applyFill="1"/>
    <xf numFmtId="0" fontId="19" fillId="35" borderId="0" xfId="310" applyFont="1" applyFill="1" applyBorder="1" applyAlignment="1"/>
    <xf numFmtId="164" fontId="21" fillId="35" borderId="0" xfId="160" quotePrefix="1" applyNumberFormat="1" applyFont="1" applyFill="1" applyBorder="1" applyAlignment="1">
      <alignment horizontal="left"/>
    </xf>
    <xf numFmtId="164" fontId="21" fillId="35" borderId="0" xfId="160" applyNumberFormat="1" applyFont="1" applyFill="1" applyAlignment="1">
      <alignment horizontal="left"/>
    </xf>
    <xf numFmtId="0" fontId="76" fillId="35" borderId="0" xfId="310" quotePrefix="1" applyFont="1" applyFill="1" applyAlignment="1">
      <alignment horizontal="center" vertical="top"/>
    </xf>
    <xf numFmtId="0" fontId="86" fillId="35" borderId="0" xfId="310" quotePrefix="1" applyFont="1" applyFill="1" applyAlignment="1">
      <alignment horizontal="center" vertical="top"/>
    </xf>
    <xf numFmtId="0" fontId="76" fillId="32" borderId="32" xfId="310" quotePrefix="1" applyFont="1" applyFill="1" applyBorder="1" applyAlignment="1">
      <alignment vertical="top"/>
    </xf>
    <xf numFmtId="164" fontId="19" fillId="32" borderId="19" xfId="160" applyNumberFormat="1" applyFont="1" applyFill="1" applyBorder="1" applyAlignment="1">
      <alignment horizontal="center" vertical="center" wrapText="1"/>
    </xf>
    <xf numFmtId="0" fontId="19" fillId="0" borderId="0" xfId="0" applyFont="1" applyAlignment="1">
      <alignment horizontal="center"/>
    </xf>
    <xf numFmtId="164" fontId="76" fillId="0" borderId="18" xfId="160" applyNumberFormat="1" applyFont="1" applyFill="1" applyBorder="1"/>
    <xf numFmtId="164" fontId="19" fillId="0" borderId="0" xfId="160" quotePrefix="1" applyNumberFormat="1" applyFont="1" applyFill="1" applyBorder="1" applyAlignment="1">
      <alignment horizontal="center" vertical="center" wrapText="1"/>
    </xf>
    <xf numFmtId="164" fontId="19" fillId="32" borderId="21" xfId="160" quotePrefix="1" applyNumberFormat="1" applyFont="1" applyFill="1" applyBorder="1" applyAlignment="1">
      <alignment horizontal="center" vertical="center" wrapText="1"/>
    </xf>
    <xf numFmtId="164" fontId="19" fillId="32" borderId="21" xfId="160" applyNumberFormat="1" applyFont="1" applyFill="1" applyBorder="1" applyAlignment="1">
      <alignment horizontal="center" vertical="center" wrapText="1"/>
    </xf>
    <xf numFmtId="0" fontId="19" fillId="0" borderId="27" xfId="310" applyFont="1" applyFill="1" applyBorder="1" applyAlignment="1">
      <alignment horizontal="center"/>
    </xf>
    <xf numFmtId="0" fontId="19" fillId="0" borderId="28" xfId="310" applyFont="1" applyFill="1" applyBorder="1" applyAlignment="1">
      <alignment horizontal="center"/>
    </xf>
    <xf numFmtId="15" fontId="19" fillId="0" borderId="21" xfId="310" quotePrefix="1" applyNumberFormat="1" applyFont="1" applyFill="1" applyBorder="1" applyAlignment="1"/>
    <xf numFmtId="0" fontId="19" fillId="0" borderId="19" xfId="310" applyFont="1" applyFill="1" applyBorder="1" applyAlignment="1">
      <alignment horizontal="center"/>
    </xf>
    <xf numFmtId="164" fontId="19" fillId="0" borderId="21" xfId="160" applyNumberFormat="1" applyFont="1" applyFill="1" applyBorder="1" applyAlignment="1">
      <alignment horizontal="center" vertical="center" wrapText="1"/>
    </xf>
    <xf numFmtId="0" fontId="19" fillId="0" borderId="19" xfId="160" applyNumberFormat="1" applyFont="1" applyFill="1" applyBorder="1" applyAlignment="1">
      <alignment horizontal="center"/>
    </xf>
    <xf numFmtId="0" fontId="0" fillId="0" borderId="7" xfId="0" applyBorder="1" applyAlignment="1"/>
    <xf numFmtId="164" fontId="19" fillId="0" borderId="22" xfId="160" applyNumberFormat="1" applyFont="1" applyFill="1" applyBorder="1"/>
    <xf numFmtId="37" fontId="21" fillId="0" borderId="0" xfId="310" applyNumberFormat="1" applyFont="1" applyFill="1" applyAlignment="1">
      <alignment horizontal="center"/>
    </xf>
    <xf numFmtId="164" fontId="21" fillId="35" borderId="23" xfId="160" applyNumberFormat="1" applyFont="1" applyFill="1" applyBorder="1"/>
    <xf numFmtId="164" fontId="21" fillId="0" borderId="0" xfId="310" applyNumberFormat="1" applyFont="1"/>
    <xf numFmtId="43" fontId="21" fillId="0" borderId="0" xfId="160" applyFont="1" applyBorder="1"/>
    <xf numFmtId="1" fontId="21" fillId="0" borderId="0" xfId="160" applyNumberFormat="1" applyFont="1" applyFill="1" applyAlignment="1">
      <alignment horizontal="center"/>
    </xf>
    <xf numFmtId="1" fontId="21" fillId="0" borderId="0" xfId="310" applyNumberFormat="1" applyFont="1" applyAlignment="1">
      <alignment horizontal="center"/>
    </xf>
    <xf numFmtId="1" fontId="21" fillId="0" borderId="0" xfId="310" quotePrefix="1" applyNumberFormat="1" applyFont="1" applyAlignment="1">
      <alignment horizontal="center"/>
    </xf>
    <xf numFmtId="164" fontId="21" fillId="35" borderId="18" xfId="160" applyNumberFormat="1" applyFont="1" applyFill="1" applyBorder="1" applyAlignment="1">
      <alignment vertical="center"/>
    </xf>
    <xf numFmtId="43" fontId="21" fillId="0" borderId="0" xfId="310" applyNumberFormat="1" applyFont="1"/>
    <xf numFmtId="164" fontId="21" fillId="35" borderId="0" xfId="160" applyNumberFormat="1" applyFont="1" applyFill="1" applyBorder="1" applyAlignment="1">
      <alignment vertical="center"/>
    </xf>
    <xf numFmtId="164" fontId="21" fillId="0" borderId="0" xfId="160" applyNumberFormat="1" applyFont="1" applyBorder="1" applyAlignment="1">
      <alignment vertical="center"/>
    </xf>
    <xf numFmtId="49" fontId="19" fillId="0" borderId="0" xfId="310" applyNumberFormat="1" applyFont="1"/>
    <xf numFmtId="164" fontId="21" fillId="35" borderId="0" xfId="310" applyNumberFormat="1" applyFont="1" applyFill="1"/>
    <xf numFmtId="0" fontId="19" fillId="0" borderId="0" xfId="310" quotePrefix="1" applyFont="1" applyFill="1" applyBorder="1" applyAlignment="1">
      <alignment vertical="top"/>
    </xf>
    <xf numFmtId="0" fontId="19" fillId="0" borderId="0" xfId="310" quotePrefix="1" applyFont="1" applyFill="1" applyBorder="1" applyAlignment="1">
      <alignment horizontal="center" vertical="top"/>
    </xf>
    <xf numFmtId="164" fontId="19" fillId="35" borderId="0" xfId="160" quotePrefix="1" applyNumberFormat="1" applyFont="1" applyFill="1" applyAlignment="1">
      <alignment horizontal="center"/>
    </xf>
    <xf numFmtId="43" fontId="19" fillId="35" borderId="22" xfId="160" applyFont="1" applyFill="1" applyBorder="1"/>
    <xf numFmtId="43" fontId="21" fillId="0" borderId="22" xfId="160" applyFont="1" applyFill="1" applyBorder="1"/>
    <xf numFmtId="0" fontId="19" fillId="0" borderId="0" xfId="160" quotePrefix="1" applyNumberFormat="1" applyFont="1" applyFill="1" applyAlignment="1">
      <alignment horizontal="center"/>
    </xf>
    <xf numFmtId="0" fontId="19" fillId="0" borderId="0" xfId="311" applyFont="1" applyFill="1" applyAlignment="1">
      <alignment horizontal="center"/>
    </xf>
    <xf numFmtId="0" fontId="21" fillId="0" borderId="0" xfId="310" applyNumberFormat="1" applyFont="1" applyAlignment="1">
      <alignment horizontal="justify" vertical="top"/>
    </xf>
    <xf numFmtId="0" fontId="21" fillId="0" borderId="0" xfId="310" applyFont="1" applyFill="1" applyAlignment="1">
      <alignment horizontal="justify" vertical="top"/>
    </xf>
    <xf numFmtId="172" fontId="21" fillId="0" borderId="0" xfId="310" applyNumberFormat="1" applyFont="1" applyFill="1" applyAlignment="1">
      <alignment vertical="top"/>
    </xf>
    <xf numFmtId="172" fontId="21" fillId="0" borderId="0" xfId="310" applyNumberFormat="1" applyFont="1" applyFill="1" applyAlignment="1">
      <alignment vertical="top" wrapText="1"/>
    </xf>
    <xf numFmtId="0" fontId="21" fillId="0" borderId="0" xfId="834" applyFont="1" applyFill="1" applyAlignment="1">
      <alignment vertical="top"/>
    </xf>
    <xf numFmtId="0" fontId="21" fillId="0" borderId="0" xfId="834" applyNumberFormat="1" applyFont="1" applyFill="1" applyAlignment="1">
      <alignment vertical="top"/>
    </xf>
    <xf numFmtId="37" fontId="21" fillId="0" borderId="0" xfId="834" applyNumberFormat="1" applyFont="1" applyFill="1" applyAlignment="1">
      <alignment vertical="top"/>
    </xf>
    <xf numFmtId="0" fontId="22" fillId="0" borderId="0" xfId="834" applyNumberFormat="1" applyFont="1" applyFill="1" applyAlignment="1">
      <alignment vertical="top"/>
    </xf>
    <xf numFmtId="0" fontId="22" fillId="0" borderId="0" xfId="834" applyFont="1" applyFill="1" applyAlignment="1">
      <alignment vertical="top"/>
    </xf>
    <xf numFmtId="0" fontId="21" fillId="0" borderId="0" xfId="310" applyFont="1" applyAlignment="1">
      <alignment horizontal="center" vertical="top"/>
    </xf>
    <xf numFmtId="164" fontId="21" fillId="32" borderId="1" xfId="160" applyNumberFormat="1" applyFont="1" applyFill="1" applyBorder="1" applyAlignment="1">
      <alignment horizontal="center" vertical="center" wrapText="1"/>
    </xf>
    <xf numFmtId="164" fontId="21" fillId="0" borderId="0" xfId="308" applyNumberFormat="1" applyFont="1" applyFill="1" applyBorder="1" applyAlignment="1">
      <alignment horizontal="centerContinuous" vertical="top"/>
    </xf>
    <xf numFmtId="37" fontId="21" fillId="0" borderId="0" xfId="306" applyNumberFormat="1" applyFont="1" applyFill="1" applyBorder="1" applyAlignment="1"/>
    <xf numFmtId="0" fontId="21" fillId="0" borderId="0" xfId="310" applyNumberFormat="1" applyFont="1" applyBorder="1" applyAlignment="1">
      <alignment horizontal="center" vertical="top"/>
    </xf>
    <xf numFmtId="164" fontId="21" fillId="0" borderId="0" xfId="160" applyNumberFormat="1" applyFont="1" applyFill="1" applyAlignment="1">
      <alignment horizontal="left"/>
    </xf>
    <xf numFmtId="164" fontId="17" fillId="0" borderId="0" xfId="160" applyNumberFormat="1" applyFont="1" applyFill="1"/>
    <xf numFmtId="164" fontId="21" fillId="0" borderId="18" xfId="308" applyNumberFormat="1" applyFont="1" applyFill="1" applyBorder="1" applyAlignment="1">
      <alignment horizontal="left" vertical="center"/>
    </xf>
    <xf numFmtId="0" fontId="19" fillId="0" borderId="0" xfId="310" quotePrefix="1" applyNumberFormat="1" applyFont="1" applyAlignment="1">
      <alignment horizontal="center" vertical="top"/>
    </xf>
    <xf numFmtId="0" fontId="19" fillId="0" borderId="0" xfId="310" applyNumberFormat="1" applyFont="1" applyAlignment="1">
      <alignment horizontal="center" vertical="top"/>
    </xf>
    <xf numFmtId="164" fontId="21" fillId="0" borderId="0" xfId="309" quotePrefix="1" applyNumberFormat="1" applyFont="1" applyFill="1" applyAlignment="1">
      <alignment horizontal="center"/>
    </xf>
    <xf numFmtId="164" fontId="21" fillId="0" borderId="18" xfId="309" quotePrefix="1" applyNumberFormat="1" applyFont="1" applyFill="1" applyBorder="1" applyAlignment="1">
      <alignment horizontal="center"/>
    </xf>
    <xf numFmtId="0" fontId="22" fillId="0" borderId="0" xfId="0" applyNumberFormat="1" applyFont="1" applyFill="1" applyAlignment="1">
      <alignment horizontal="centerContinuous" vertical="top"/>
    </xf>
    <xf numFmtId="0" fontId="0" fillId="0" borderId="0" xfId="0" applyAlignment="1">
      <alignment vertical="top"/>
    </xf>
    <xf numFmtId="0" fontId="19" fillId="0" borderId="0" xfId="311" quotePrefix="1" applyFont="1" applyFill="1" applyAlignment="1"/>
    <xf numFmtId="186" fontId="21" fillId="0" borderId="0" xfId="0" applyNumberFormat="1" applyFont="1" applyBorder="1"/>
    <xf numFmtId="0" fontId="21" fillId="0" borderId="0" xfId="310" applyNumberFormat="1" applyFont="1" applyFill="1" applyBorder="1" applyAlignment="1">
      <alignment horizontal="justify" vertical="top"/>
    </xf>
    <xf numFmtId="164" fontId="21" fillId="0" borderId="0" xfId="310" applyNumberFormat="1" applyFont="1" applyFill="1" applyBorder="1" applyAlignment="1">
      <alignment horizontal="justify" vertical="top"/>
    </xf>
    <xf numFmtId="164" fontId="19" fillId="0" borderId="0" xfId="160" applyNumberFormat="1" applyFont="1" applyFill="1" applyBorder="1" applyAlignment="1">
      <alignment horizontal="center" vertical="center" wrapText="1"/>
    </xf>
    <xf numFmtId="43" fontId="21" fillId="0" borderId="0" xfId="160" applyFont="1" applyAlignment="1">
      <alignment vertical="top"/>
    </xf>
    <xf numFmtId="164" fontId="21" fillId="0" borderId="0" xfId="160" applyNumberFormat="1" applyFont="1" applyAlignment="1">
      <alignment horizontal="center"/>
    </xf>
    <xf numFmtId="164" fontId="21" fillId="0" borderId="0" xfId="310" applyNumberFormat="1" applyFont="1" applyAlignment="1">
      <alignment horizontal="left" vertical="top"/>
    </xf>
    <xf numFmtId="164" fontId="19" fillId="0" borderId="0" xfId="160" quotePrefix="1" applyNumberFormat="1" applyFont="1" applyFill="1" applyAlignment="1">
      <alignment horizontal="center"/>
    </xf>
    <xf numFmtId="164" fontId="19" fillId="0" borderId="0" xfId="160" applyNumberFormat="1" applyFont="1" applyFill="1" applyBorder="1" applyAlignment="1"/>
    <xf numFmtId="164" fontId="19" fillId="0" borderId="0" xfId="0" applyNumberFormat="1" applyFont="1"/>
    <xf numFmtId="164" fontId="19" fillId="0" borderId="0" xfId="160" applyNumberFormat="1" applyFont="1" applyBorder="1" applyAlignment="1">
      <alignment vertical="top"/>
    </xf>
    <xf numFmtId="164" fontId="19" fillId="0" borderId="18" xfId="310" applyNumberFormat="1" applyFont="1" applyFill="1" applyBorder="1" applyAlignment="1">
      <alignment horizontal="justify" vertical="top"/>
    </xf>
    <xf numFmtId="0" fontId="19" fillId="0" borderId="0" xfId="310" applyFont="1" applyFill="1" applyAlignment="1">
      <alignment horizontal="justify" vertical="top"/>
    </xf>
    <xf numFmtId="186" fontId="19" fillId="0" borderId="0" xfId="310" applyNumberFormat="1" applyFont="1" applyFill="1" applyAlignment="1">
      <alignment horizontal="justify" vertical="top"/>
    </xf>
    <xf numFmtId="164" fontId="19" fillId="0" borderId="0" xfId="160" applyNumberFormat="1" applyFont="1" applyFill="1" applyAlignment="1">
      <alignment horizontal="justify" vertical="top"/>
    </xf>
    <xf numFmtId="164" fontId="21" fillId="0" borderId="18" xfId="160" applyNumberFormat="1" applyFont="1" applyBorder="1" applyAlignment="1">
      <alignment vertical="top"/>
    </xf>
    <xf numFmtId="164" fontId="19" fillId="0" borderId="0" xfId="160" applyNumberFormat="1" applyFont="1" applyFill="1" applyBorder="1" applyAlignment="1">
      <alignment horizontal="center"/>
    </xf>
    <xf numFmtId="0" fontId="21" fillId="0" borderId="0" xfId="310" applyFont="1" applyFill="1" applyAlignment="1">
      <alignment vertical="center" readingOrder="1"/>
    </xf>
    <xf numFmtId="164" fontId="21" fillId="0" borderId="0" xfId="160" applyNumberFormat="1" applyFont="1" applyFill="1" applyAlignment="1">
      <alignment vertical="center" readingOrder="1"/>
    </xf>
    <xf numFmtId="164" fontId="21" fillId="0" borderId="0" xfId="160" applyNumberFormat="1" applyFont="1" applyFill="1" applyAlignment="1">
      <alignment horizontal="right" vertical="center"/>
    </xf>
    <xf numFmtId="164" fontId="21" fillId="0" borderId="0" xfId="160" applyNumberFormat="1" applyFont="1" applyFill="1" applyBorder="1" applyAlignment="1">
      <alignment horizontal="right" vertical="center"/>
    </xf>
    <xf numFmtId="0" fontId="21" fillId="0" borderId="0" xfId="310" applyFont="1" applyFill="1" applyAlignment="1">
      <alignment vertical="top" readingOrder="1"/>
    </xf>
    <xf numFmtId="3" fontId="21" fillId="0" borderId="0" xfId="310" applyNumberFormat="1" applyFont="1" applyFill="1" applyBorder="1" applyAlignment="1">
      <alignment horizontal="right" vertical="center"/>
    </xf>
    <xf numFmtId="186" fontId="21" fillId="0" borderId="18" xfId="310" applyNumberFormat="1" applyFont="1" applyFill="1" applyBorder="1" applyAlignment="1">
      <alignment horizontal="right" vertical="center"/>
    </xf>
    <xf numFmtId="196" fontId="21" fillId="0" borderId="0" xfId="160" applyNumberFormat="1" applyFont="1"/>
    <xf numFmtId="186" fontId="21" fillId="0" borderId="22" xfId="0" applyNumberFormat="1" applyFont="1" applyBorder="1"/>
    <xf numFmtId="0" fontId="19" fillId="0" borderId="7" xfId="0" applyNumberFormat="1" applyFont="1" applyFill="1" applyBorder="1" applyAlignment="1">
      <alignment horizontal="center" vertical="top"/>
    </xf>
    <xf numFmtId="0" fontId="19" fillId="0" borderId="7" xfId="0" applyFont="1" applyBorder="1"/>
    <xf numFmtId="41" fontId="19" fillId="0" borderId="0" xfId="160" applyNumberFormat="1" applyFont="1"/>
    <xf numFmtId="0" fontId="19" fillId="0" borderId="0" xfId="310" quotePrefix="1" applyNumberFormat="1" applyFont="1" applyAlignment="1">
      <alignment vertical="top"/>
    </xf>
    <xf numFmtId="164" fontId="19" fillId="32" borderId="7" xfId="160" applyNumberFormat="1" applyFont="1" applyFill="1" applyBorder="1" applyAlignment="1">
      <alignment horizontal="center"/>
    </xf>
    <xf numFmtId="198" fontId="95" fillId="36" borderId="20" xfId="160" applyNumberFormat="1" applyFont="1" applyFill="1" applyBorder="1"/>
    <xf numFmtId="198" fontId="21" fillId="36" borderId="20" xfId="160" applyNumberFormat="1" applyFont="1" applyFill="1" applyBorder="1"/>
    <xf numFmtId="0" fontId="19" fillId="0" borderId="0" xfId="310" applyFont="1" applyFill="1" applyAlignment="1">
      <alignment vertical="center"/>
    </xf>
    <xf numFmtId="41" fontId="19" fillId="0" borderId="0" xfId="160" applyNumberFormat="1" applyFont="1" applyAlignment="1">
      <alignment vertical="center"/>
    </xf>
    <xf numFmtId="0" fontId="76" fillId="0" borderId="0" xfId="0" quotePrefix="1" applyFont="1" applyAlignment="1">
      <alignment horizontal="center" vertical="top"/>
    </xf>
    <xf numFmtId="0" fontId="21" fillId="0" borderId="1" xfId="310" applyFont="1" applyBorder="1" applyAlignment="1">
      <alignment horizontal="center" vertical="top"/>
    </xf>
    <xf numFmtId="164" fontId="21" fillId="0" borderId="0" xfId="160" applyNumberFormat="1" applyFont="1" applyAlignment="1">
      <alignment horizontal="justify" vertical="top"/>
    </xf>
    <xf numFmtId="164" fontId="21" fillId="0" borderId="18" xfId="297" applyNumberFormat="1" applyFont="1" applyFill="1" applyBorder="1" applyAlignment="1"/>
    <xf numFmtId="164" fontId="21" fillId="0" borderId="19" xfId="160" applyNumberFormat="1" applyFont="1" applyBorder="1" applyAlignment="1">
      <alignment horizontal="justify" vertical="top"/>
    </xf>
    <xf numFmtId="0" fontId="21" fillId="0" borderId="20" xfId="310" applyNumberFormat="1" applyFont="1" applyBorder="1" applyAlignment="1">
      <alignment horizontal="justify" vertical="top"/>
    </xf>
    <xf numFmtId="164" fontId="21" fillId="0" borderId="21" xfId="160" applyNumberFormat="1" applyFont="1" applyBorder="1" applyAlignment="1">
      <alignment horizontal="justify" vertical="top"/>
    </xf>
    <xf numFmtId="164" fontId="21" fillId="0" borderId="0" xfId="310" applyNumberFormat="1" applyFont="1" applyAlignment="1">
      <alignment horizontal="justify" vertical="top"/>
    </xf>
    <xf numFmtId="0" fontId="76" fillId="0" borderId="0" xfId="310" quotePrefix="1" applyFont="1" applyFill="1" applyBorder="1" applyAlignment="1">
      <alignment horizontal="center" vertical="top"/>
    </xf>
    <xf numFmtId="164" fontId="21" fillId="0" borderId="22" xfId="160" applyNumberFormat="1" applyFont="1" applyBorder="1"/>
    <xf numFmtId="164" fontId="21" fillId="0" borderId="0" xfId="160" applyNumberFormat="1" applyFont="1" applyBorder="1"/>
    <xf numFmtId="164" fontId="21" fillId="0" borderId="18" xfId="160" applyNumberFormat="1" applyFont="1" applyBorder="1"/>
    <xf numFmtId="186" fontId="21" fillId="0" borderId="0" xfId="0" quotePrefix="1" applyNumberFormat="1" applyFont="1" applyAlignment="1"/>
    <xf numFmtId="186" fontId="21" fillId="0" borderId="0" xfId="0" applyNumberFormat="1" applyFont="1" applyAlignment="1"/>
    <xf numFmtId="200" fontId="21" fillId="0" borderId="22" xfId="0" applyNumberFormat="1" applyFont="1" applyBorder="1"/>
    <xf numFmtId="186" fontId="21" fillId="0" borderId="0" xfId="310" applyNumberFormat="1" applyFont="1" applyFill="1" applyBorder="1" applyAlignment="1">
      <alignment horizontal="left" vertical="top"/>
    </xf>
    <xf numFmtId="43" fontId="96" fillId="0" borderId="0" xfId="160" applyFont="1"/>
    <xf numFmtId="164" fontId="1" fillId="0" borderId="0" xfId="160" applyNumberFormat="1" applyFont="1"/>
    <xf numFmtId="43" fontId="1" fillId="0" borderId="0" xfId="160" applyFont="1"/>
    <xf numFmtId="164" fontId="97" fillId="0" borderId="0" xfId="160" applyNumberFormat="1" applyFont="1"/>
    <xf numFmtId="43" fontId="97" fillId="0" borderId="0" xfId="160" applyFont="1"/>
    <xf numFmtId="0" fontId="97" fillId="0" borderId="0" xfId="0" applyFont="1"/>
    <xf numFmtId="0" fontId="94" fillId="0" borderId="0" xfId="829" applyNumberFormat="1" applyFont="1"/>
    <xf numFmtId="164" fontId="98" fillId="0" borderId="0" xfId="160" applyNumberFormat="1" applyFont="1" applyAlignment="1">
      <alignment vertical="center" wrapText="1"/>
    </xf>
    <xf numFmtId="43" fontId="98" fillId="0" borderId="0" xfId="160" applyFont="1" applyAlignment="1">
      <alignment vertical="center" wrapText="1"/>
    </xf>
    <xf numFmtId="43" fontId="99" fillId="0" borderId="0" xfId="160" applyFont="1"/>
    <xf numFmtId="49" fontId="97" fillId="0" borderId="0" xfId="160" applyNumberFormat="1" applyFont="1"/>
    <xf numFmtId="43" fontId="100" fillId="0" borderId="1" xfId="160" applyFont="1" applyFill="1" applyBorder="1" applyAlignment="1">
      <alignment horizontal="center" vertical="center"/>
    </xf>
    <xf numFmtId="43" fontId="100" fillId="37" borderId="1" xfId="160" applyFont="1" applyFill="1" applyBorder="1" applyAlignment="1">
      <alignment horizontal="center" vertical="center"/>
    </xf>
    <xf numFmtId="164" fontId="100" fillId="0" borderId="1" xfId="160" applyNumberFormat="1" applyFont="1" applyFill="1" applyBorder="1" applyAlignment="1">
      <alignment horizontal="centerContinuous" vertical="center" wrapText="1"/>
    </xf>
    <xf numFmtId="164" fontId="100" fillId="0" borderId="1" xfId="160" applyNumberFormat="1" applyFont="1" applyFill="1" applyBorder="1" applyAlignment="1">
      <alignment horizontal="center" vertical="center" wrapText="1"/>
    </xf>
    <xf numFmtId="164" fontId="97" fillId="0" borderId="1" xfId="160" applyNumberFormat="1" applyFont="1" applyFill="1" applyBorder="1" applyAlignment="1">
      <alignment horizontal="centerContinuous" vertical="center"/>
    </xf>
    <xf numFmtId="43" fontId="100" fillId="0" borderId="1" xfId="160" applyFont="1" applyFill="1" applyBorder="1" applyAlignment="1">
      <alignment horizontal="center" vertical="center" wrapText="1"/>
    </xf>
    <xf numFmtId="43" fontId="100" fillId="0" borderId="1" xfId="160" applyFont="1" applyFill="1" applyBorder="1" applyAlignment="1">
      <alignment horizontal="centerContinuous" vertical="center" wrapText="1"/>
    </xf>
    <xf numFmtId="43" fontId="100" fillId="0" borderId="0" xfId="160" applyFont="1" applyFill="1" applyBorder="1" applyAlignment="1">
      <alignment vertical="center"/>
    </xf>
    <xf numFmtId="164" fontId="100" fillId="0" borderId="0" xfId="160" quotePrefix="1" applyNumberFormat="1" applyFont="1" applyFill="1" applyBorder="1" applyAlignment="1">
      <alignment horizontal="left" vertical="center"/>
    </xf>
    <xf numFmtId="164" fontId="100" fillId="0" borderId="0" xfId="160" applyNumberFormat="1" applyFont="1" applyFill="1" applyBorder="1" applyAlignment="1">
      <alignment horizontal="centerContinuous" vertical="center"/>
    </xf>
    <xf numFmtId="164" fontId="100" fillId="0" borderId="0" xfId="160" quotePrefix="1" applyNumberFormat="1" applyFont="1" applyFill="1" applyBorder="1" applyAlignment="1">
      <alignment horizontal="centerContinuous" vertical="center"/>
    </xf>
    <xf numFmtId="43" fontId="100" fillId="0" borderId="0" xfId="160" applyFont="1" applyFill="1" applyBorder="1" applyAlignment="1">
      <alignment horizontal="centerContinuous" vertical="center"/>
    </xf>
    <xf numFmtId="164" fontId="97" fillId="0" borderId="0" xfId="160" applyNumberFormat="1" applyFont="1" applyFill="1" applyBorder="1" applyAlignment="1">
      <alignment vertical="center"/>
    </xf>
    <xf numFmtId="49" fontId="0" fillId="0" borderId="0" xfId="0" applyNumberFormat="1"/>
    <xf numFmtId="164" fontId="97" fillId="0" borderId="0" xfId="160" quotePrefix="1" applyNumberFormat="1" applyFont="1" applyFill="1" applyBorder="1" applyAlignment="1">
      <alignment horizontal="left" vertical="center"/>
    </xf>
    <xf numFmtId="43" fontId="101" fillId="0" borderId="0" xfId="0" applyNumberFormat="1" applyFont="1" applyBorder="1"/>
    <xf numFmtId="164" fontId="97" fillId="0" borderId="18" xfId="160" quotePrefix="1" applyNumberFormat="1" applyFont="1" applyFill="1" applyBorder="1" applyAlignment="1">
      <alignment horizontal="left" vertical="center"/>
    </xf>
    <xf numFmtId="164" fontId="0" fillId="0" borderId="18" xfId="160" applyNumberFormat="1" applyFont="1" applyBorder="1"/>
    <xf numFmtId="43" fontId="0" fillId="0" borderId="18" xfId="160" applyFont="1" applyBorder="1"/>
    <xf numFmtId="49" fontId="0" fillId="0" borderId="0" xfId="0" applyNumberFormat="1" applyBorder="1"/>
    <xf numFmtId="49" fontId="101" fillId="0" borderId="0" xfId="0" applyNumberFormat="1" applyFont="1" applyBorder="1"/>
    <xf numFmtId="49" fontId="101" fillId="0" borderId="0" xfId="0" applyNumberFormat="1" applyFont="1"/>
    <xf numFmtId="164" fontId="101" fillId="0" borderId="18" xfId="160" applyNumberFormat="1" applyFont="1" applyBorder="1"/>
    <xf numFmtId="43" fontId="101" fillId="0" borderId="18" xfId="160" applyFont="1" applyBorder="1"/>
    <xf numFmtId="164" fontId="101" fillId="0" borderId="0" xfId="160" applyNumberFormat="1" applyFont="1" applyBorder="1"/>
    <xf numFmtId="43" fontId="101" fillId="0" borderId="0" xfId="160" applyFont="1" applyBorder="1"/>
    <xf numFmtId="164" fontId="97" fillId="0" borderId="23" xfId="160" quotePrefix="1" applyNumberFormat="1" applyFont="1" applyFill="1" applyBorder="1" applyAlignment="1">
      <alignment horizontal="left" vertical="center"/>
    </xf>
    <xf numFmtId="164" fontId="0" fillId="0" borderId="23" xfId="160" applyNumberFormat="1" applyFont="1" applyBorder="1"/>
    <xf numFmtId="164" fontId="101" fillId="0" borderId="23" xfId="160" applyNumberFormat="1" applyFont="1" applyBorder="1"/>
    <xf numFmtId="43" fontId="101" fillId="0" borderId="23" xfId="160" applyFont="1" applyBorder="1"/>
    <xf numFmtId="1" fontId="22" fillId="0" borderId="0" xfId="310" applyNumberFormat="1" applyFont="1" applyAlignment="1">
      <alignment horizontal="center"/>
    </xf>
    <xf numFmtId="0" fontId="8" fillId="0" borderId="0" xfId="0" applyFont="1" applyBorder="1"/>
    <xf numFmtId="164" fontId="21" fillId="0" borderId="0" xfId="176" applyNumberFormat="1" applyFont="1" applyFill="1" applyBorder="1"/>
    <xf numFmtId="37" fontId="21" fillId="0" borderId="19" xfId="0" applyNumberFormat="1" applyFont="1" applyFill="1" applyBorder="1" applyAlignment="1" applyProtection="1">
      <alignment horizontal="right"/>
    </xf>
    <xf numFmtId="37" fontId="21" fillId="0" borderId="20" xfId="0" applyNumberFormat="1" applyFont="1" applyFill="1" applyBorder="1" applyAlignment="1" applyProtection="1">
      <alignment horizontal="right"/>
    </xf>
    <xf numFmtId="49" fontId="19" fillId="0" borderId="0" xfId="310" applyNumberFormat="1" applyFont="1" applyAlignment="1"/>
    <xf numFmtId="16" fontId="21" fillId="0" borderId="0" xfId="310" quotePrefix="1" applyNumberFormat="1" applyFont="1" applyFill="1" applyAlignment="1">
      <alignment horizontal="center"/>
    </xf>
    <xf numFmtId="0" fontId="19" fillId="0" borderId="24" xfId="310" applyFont="1" applyFill="1" applyBorder="1" applyAlignment="1">
      <alignment horizontal="center"/>
    </xf>
    <xf numFmtId="0" fontId="19" fillId="0" borderId="23" xfId="310" applyFont="1" applyFill="1" applyBorder="1" applyAlignment="1">
      <alignment horizontal="center"/>
    </xf>
    <xf numFmtId="0" fontId="19" fillId="0" borderId="27" xfId="310" applyFont="1" applyFill="1" applyBorder="1" applyAlignment="1">
      <alignment horizontal="center"/>
    </xf>
    <xf numFmtId="0" fontId="19" fillId="0" borderId="26" xfId="310" applyFont="1" applyFill="1" applyBorder="1" applyAlignment="1">
      <alignment horizontal="center"/>
    </xf>
    <xf numFmtId="0" fontId="19" fillId="0" borderId="2" xfId="310" applyFont="1" applyFill="1" applyBorder="1" applyAlignment="1">
      <alignment horizontal="center"/>
    </xf>
    <xf numFmtId="0" fontId="19" fillId="0" borderId="28" xfId="310" applyFont="1" applyFill="1" applyBorder="1" applyAlignment="1">
      <alignment horizontal="center"/>
    </xf>
    <xf numFmtId="0" fontId="19" fillId="0" borderId="0" xfId="310" quotePrefix="1" applyFont="1" applyFill="1" applyAlignment="1">
      <alignment horizontal="center"/>
    </xf>
    <xf numFmtId="0" fontId="19" fillId="0" borderId="0" xfId="310" applyFont="1" applyFill="1" applyAlignment="1">
      <alignment horizontal="center"/>
    </xf>
    <xf numFmtId="164" fontId="19" fillId="32" borderId="25" xfId="160" applyNumberFormat="1" applyFont="1" applyFill="1" applyBorder="1" applyAlignment="1">
      <alignment horizontal="center"/>
    </xf>
    <xf numFmtId="164" fontId="19" fillId="32" borderId="0" xfId="160" applyNumberFormat="1" applyFont="1" applyFill="1" applyBorder="1" applyAlignment="1">
      <alignment horizontal="center"/>
    </xf>
    <xf numFmtId="164" fontId="19" fillId="32" borderId="32" xfId="160" quotePrefix="1" applyNumberFormat="1" applyFont="1" applyFill="1" applyBorder="1" applyAlignment="1">
      <alignment horizontal="center"/>
    </xf>
    <xf numFmtId="164" fontId="19" fillId="32" borderId="7" xfId="160" quotePrefix="1" applyNumberFormat="1" applyFont="1" applyFill="1" applyBorder="1" applyAlignment="1">
      <alignment horizontal="center"/>
    </xf>
    <xf numFmtId="0" fontId="19" fillId="32" borderId="32" xfId="310" quotePrefix="1" applyFont="1" applyFill="1" applyBorder="1" applyAlignment="1">
      <alignment horizontal="center" vertical="top"/>
    </xf>
    <xf numFmtId="0" fontId="19" fillId="32" borderId="7" xfId="310" quotePrefix="1" applyFont="1" applyFill="1" applyBorder="1" applyAlignment="1">
      <alignment horizontal="center" vertical="top"/>
    </xf>
    <xf numFmtId="0" fontId="19" fillId="32" borderId="33" xfId="310" quotePrefix="1" applyFont="1" applyFill="1" applyBorder="1" applyAlignment="1">
      <alignment horizontal="center" vertical="top"/>
    </xf>
    <xf numFmtId="0" fontId="19" fillId="0" borderId="0" xfId="0" applyFont="1" applyAlignment="1">
      <alignment horizontal="center"/>
    </xf>
    <xf numFmtId="0" fontId="83" fillId="0" borderId="23" xfId="0" quotePrefix="1" applyNumberFormat="1" applyFont="1" applyBorder="1" applyAlignment="1">
      <alignment horizontal="center" vertical="center" wrapText="1"/>
    </xf>
    <xf numFmtId="0" fontId="83" fillId="0" borderId="23" xfId="0" applyNumberFormat="1" applyFont="1" applyBorder="1" applyAlignment="1">
      <alignment horizontal="center" vertical="center" wrapText="1"/>
    </xf>
    <xf numFmtId="0" fontId="76" fillId="32" borderId="32" xfId="0" quotePrefix="1" applyFont="1" applyFill="1" applyBorder="1" applyAlignment="1">
      <alignment horizontal="center" vertical="top"/>
    </xf>
    <xf numFmtId="0" fontId="76" fillId="32" borderId="7" xfId="0" quotePrefix="1" applyFont="1" applyFill="1" applyBorder="1" applyAlignment="1">
      <alignment horizontal="center" vertical="top"/>
    </xf>
    <xf numFmtId="0" fontId="76" fillId="32" borderId="33" xfId="0" quotePrefix="1" applyFont="1" applyFill="1" applyBorder="1" applyAlignment="1">
      <alignment horizontal="center" vertical="top"/>
    </xf>
    <xf numFmtId="0" fontId="19" fillId="0" borderId="0" xfId="0" applyFont="1" applyFill="1" applyAlignment="1">
      <alignment horizontal="center"/>
    </xf>
    <xf numFmtId="0" fontId="76" fillId="32" borderId="32" xfId="310" quotePrefix="1" applyFont="1" applyFill="1" applyBorder="1" applyAlignment="1">
      <alignment horizontal="center" vertical="top"/>
    </xf>
    <xf numFmtId="0" fontId="76" fillId="32" borderId="7" xfId="310" quotePrefix="1" applyFont="1" applyFill="1" applyBorder="1" applyAlignment="1">
      <alignment horizontal="center" vertical="top"/>
    </xf>
    <xf numFmtId="0" fontId="76" fillId="32" borderId="33" xfId="310" quotePrefix="1" applyFont="1" applyFill="1" applyBorder="1" applyAlignment="1">
      <alignment horizontal="center" vertical="top"/>
    </xf>
    <xf numFmtId="0" fontId="76" fillId="0" borderId="0" xfId="310" quotePrefix="1" applyFont="1" applyFill="1" applyAlignment="1">
      <alignment horizontal="center"/>
    </xf>
    <xf numFmtId="0" fontId="76" fillId="0" borderId="0" xfId="0" quotePrefix="1" applyFont="1" applyAlignment="1">
      <alignment horizontal="center" vertical="top"/>
    </xf>
    <xf numFmtId="0" fontId="84" fillId="0" borderId="0" xfId="310" quotePrefix="1" applyFont="1" applyAlignment="1">
      <alignment horizontal="center"/>
    </xf>
    <xf numFmtId="0" fontId="84" fillId="0" borderId="0" xfId="310" applyFont="1" applyAlignment="1">
      <alignment horizontal="center"/>
    </xf>
    <xf numFmtId="0" fontId="19" fillId="0" borderId="32" xfId="310" applyFont="1" applyFill="1" applyBorder="1" applyAlignment="1">
      <alignment horizontal="center"/>
    </xf>
    <xf numFmtId="0" fontId="19" fillId="0" borderId="7" xfId="310" applyFont="1" applyFill="1" applyBorder="1" applyAlignment="1">
      <alignment horizontal="center"/>
    </xf>
    <xf numFmtId="0" fontId="19" fillId="0" borderId="33" xfId="310" applyFont="1" applyFill="1" applyBorder="1" applyAlignment="1">
      <alignment horizontal="center"/>
    </xf>
    <xf numFmtId="0" fontId="19" fillId="0" borderId="23" xfId="387" applyFont="1" applyFill="1" applyBorder="1" applyAlignment="1">
      <alignment horizontal="center" vertical="center" wrapText="1"/>
    </xf>
    <xf numFmtId="0" fontId="19" fillId="0" borderId="0" xfId="387" applyFont="1" applyFill="1" applyBorder="1" applyAlignment="1">
      <alignment horizontal="center" vertical="center" wrapText="1"/>
    </xf>
    <xf numFmtId="0" fontId="19" fillId="0" borderId="2" xfId="387" applyFont="1" applyFill="1" applyBorder="1" applyAlignment="1">
      <alignment horizontal="center" vertical="center" wrapText="1"/>
    </xf>
    <xf numFmtId="0" fontId="19" fillId="0" borderId="23" xfId="387" applyFont="1" applyBorder="1" applyAlignment="1">
      <alignment horizontal="center" vertical="center" wrapText="1"/>
    </xf>
    <xf numFmtId="0" fontId="19" fillId="0" borderId="0" xfId="387" applyFont="1" applyBorder="1" applyAlignment="1">
      <alignment horizontal="center" vertical="center" wrapText="1"/>
    </xf>
    <xf numFmtId="0" fontId="19" fillId="0" borderId="2" xfId="387" applyFont="1" applyBorder="1" applyAlignment="1">
      <alignment horizontal="center" vertical="center" wrapText="1"/>
    </xf>
    <xf numFmtId="0" fontId="76" fillId="0" borderId="0" xfId="311" quotePrefix="1" applyFont="1" applyFill="1" applyAlignment="1">
      <alignment horizontal="center"/>
    </xf>
    <xf numFmtId="0" fontId="19" fillId="0" borderId="0" xfId="310" quotePrefix="1" applyNumberFormat="1" applyFont="1" applyAlignment="1">
      <alignment horizontal="center" vertical="top"/>
    </xf>
    <xf numFmtId="0" fontId="19" fillId="0" borderId="0" xfId="310" applyNumberFormat="1" applyFont="1" applyAlignment="1">
      <alignment horizontal="center" vertical="top"/>
    </xf>
    <xf numFmtId="0" fontId="21" fillId="0" borderId="0" xfId="311" applyFont="1" applyFill="1" applyBorder="1" applyAlignment="1">
      <alignment horizontal="justify" vertical="top"/>
    </xf>
    <xf numFmtId="0" fontId="19" fillId="0" borderId="32" xfId="310" applyNumberFormat="1" applyFont="1" applyBorder="1" applyAlignment="1">
      <alignment horizontal="center" vertical="top"/>
    </xf>
    <xf numFmtId="0" fontId="19" fillId="0" borderId="7" xfId="310" applyNumberFormat="1" applyFont="1" applyBorder="1" applyAlignment="1">
      <alignment horizontal="center" vertical="top"/>
    </xf>
    <xf numFmtId="0" fontId="19" fillId="0" borderId="33" xfId="310" applyNumberFormat="1" applyFont="1" applyBorder="1" applyAlignment="1">
      <alignment horizontal="center" vertical="top"/>
    </xf>
    <xf numFmtId="0" fontId="21" fillId="0" borderId="19" xfId="310" applyFont="1" applyBorder="1" applyAlignment="1">
      <alignment horizontal="center" vertical="top"/>
    </xf>
    <xf numFmtId="0" fontId="21" fillId="0" borderId="21" xfId="310" applyFont="1" applyBorder="1" applyAlignment="1">
      <alignment horizontal="center" vertical="top"/>
    </xf>
    <xf numFmtId="0" fontId="19" fillId="0" borderId="0" xfId="310" quotePrefix="1" applyFont="1" applyFill="1" applyAlignment="1">
      <alignment horizontal="center" vertical="top"/>
    </xf>
    <xf numFmtId="0" fontId="19" fillId="0" borderId="0" xfId="310" applyFont="1" applyFill="1" applyAlignment="1">
      <alignment horizontal="center" vertical="top"/>
    </xf>
    <xf numFmtId="186" fontId="19" fillId="0" borderId="7" xfId="0" applyNumberFormat="1" applyFont="1" applyBorder="1" applyAlignment="1">
      <alignment horizontal="center"/>
    </xf>
    <xf numFmtId="0" fontId="19" fillId="0" borderId="7" xfId="0" applyNumberFormat="1" applyFont="1" applyFill="1" applyBorder="1" applyAlignment="1">
      <alignment horizontal="center" vertical="top"/>
    </xf>
    <xf numFmtId="0" fontId="19" fillId="0" borderId="2" xfId="0" quotePrefix="1" applyFont="1" applyBorder="1" applyAlignment="1">
      <alignment horizontal="center"/>
    </xf>
    <xf numFmtId="0" fontId="19" fillId="0" borderId="2" xfId="0" applyFont="1" applyBorder="1" applyAlignment="1">
      <alignment horizontal="center"/>
    </xf>
  </cellXfs>
  <cellStyles count="835">
    <cellStyle name=" 1" xfId="1"/>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89"/>
    <cellStyle name=" Writer Import]_x000d__x000a_Display Dialog=No_x000d__x000a__x000d__x000a_[Horizontal Arrange]_x000d__x000a_Dimensions Interlocking=Yes_x000d__x000a_Sum Hierarchy=Yes_x000d__x000a_Generate 3" xfId="390"/>
    <cellStyle name=" Writer Import]_x000d__x000a_Display Dialog=No_x000d__x000a__x000d__x000a_[Horizontal Arrange]_x000d__x000a_Dimensions Interlocking=Yes_x000d__x000a_Sum Hierarchy=Yes_x000d__x000a_Generate 4" xfId="391"/>
    <cellStyle name=" Writer Import]_x000d__x000a_Display Dialog=No_x000d__x000a__x000d__x000a_[Horizontal Arrange]_x000d__x000a_Dimensions Interlocking=Yes_x000d__x000a_Sum Hierarchy=Yes_x000d__x000a_Generate_5.2" xfId="392"/>
    <cellStyle name="_accounts disclosure" xfId="3"/>
    <cellStyle name="_accounts disclosure 2" xfId="4"/>
    <cellStyle name="_accounts disclosure 3" xfId="393"/>
    <cellStyle name="_accounts disclosure 4" xfId="394"/>
    <cellStyle name="_accounts disclosure_31 Dec Accounts 2009-NIUT" xfId="5"/>
    <cellStyle name="_accounts disclosure_31 Dec Accounts 2009-NIUT after element" xfId="6"/>
    <cellStyle name="_accounts disclosure_31 Dec Accounts 2009-NIUT b" xfId="7"/>
    <cellStyle name="_accounts disclosure_5.2" xfId="395"/>
    <cellStyle name="_accounts disclosure_Accounts 2009-NIUT NON LOC-after RAJ final-signed" xfId="396"/>
    <cellStyle name="_accounts disclosure_After annexure changes NB final" xfId="8"/>
    <cellStyle name="_accounts disclosure_Cash Flow " xfId="397"/>
    <cellStyle name="_accounts disclosure_Cash flow working" xfId="398"/>
    <cellStyle name="_accounts disclosure_Distribution " xfId="399"/>
    <cellStyle name="_accounts disclosure_Final disclosure final" xfId="9"/>
    <cellStyle name="_accounts disclosure_Final RAJ-reviewed Feb 5" xfId="10"/>
    <cellStyle name="_accounts disclosure_Income Statement" xfId="400"/>
    <cellStyle name="_accounts disclosure_Notes 1-3" xfId="401"/>
    <cellStyle name="_accounts disclosure_Sheet2" xfId="402"/>
    <cellStyle name="_accounts disclosure_Statement of Financial Position" xfId="403"/>
    <cellStyle name="_accounts disclosure_UHF" xfId="404"/>
    <cellStyle name="_FINALIFRS-LOC Accounts -(30June09)" xfId="11"/>
    <cellStyle name="_FINALIFRS-LOC Accounts -(30June09) 2" xfId="405"/>
    <cellStyle name="_FINALIFRS-LOC Accounts -(30June09) 3" xfId="406"/>
    <cellStyle name="_FINALIFRS-LOC Accounts -(30June09) 4" xfId="407"/>
    <cellStyle name="_FINALIFRS-LOC Accounts -(30June09)_5.2" xfId="408"/>
    <cellStyle name="_FINALIFRS-LOC Accounts -(30June09)_Accounts 2009-NIUT NON LOC-after RAJ final-signed" xfId="12"/>
    <cellStyle name="_FINALIFRS-LOC Accounts -(30June09)_Accounts 2009-NIUT NON LOC-after RAJ final-signed 2" xfId="409"/>
    <cellStyle name="_FINALIFRS-LOC Accounts -(30June09)_Accounts 2009-NIUT NON LOC-after RAJ final-signed 3" xfId="410"/>
    <cellStyle name="_FINALIFRS-LOC Accounts -(30June09)_Accounts 2009-NIUT NON LOC-after RAJ final-signed 4" xfId="411"/>
    <cellStyle name="_FINALIFRS-LOC Accounts -(30June09)_Accounts 2009-NIUT NON LOC-after RAJ final-signed_Accounts(31Dec2010)-SEF(FINAL)" xfId="13"/>
    <cellStyle name="_FINALIFRS-LOC Accounts -(30June09)_Accounts 2009-NIUT NON LOC-after RAJ final-signed_Accounts(31Dec2010)-SEF(for client)" xfId="14"/>
    <cellStyle name="_FINALIFRS-LOC Accounts -(30June09)_Accounts 2009-NIUT NON LOC-after RAJ final-signed_Accounts(31Dec2010)-SEF(formated-final" xfId="15"/>
    <cellStyle name="_FINALIFRS-LOC Accounts -(30June09)_Accounts 2009-NIUT NON LOC-after RAJ final-signed_Cash Flow " xfId="412"/>
    <cellStyle name="_FINALIFRS-LOC Accounts -(30June09)_Accounts 2009-NIUT NON LOC-after RAJ final-signed_Cash flow working" xfId="413"/>
    <cellStyle name="_FINALIFRS-LOC Accounts -(30June09)_Accounts 2009-NIUT NON LOC-after RAJ final-signed_Copy of NIT (SEF) FST - FINAL after final changes " xfId="414"/>
    <cellStyle name="_FINALIFRS-LOC Accounts -(30June09)_Accounts 2009-NIUT NON LOC-after RAJ final-signed_Distribution " xfId="415"/>
    <cellStyle name="_FINALIFRS-LOC Accounts -(30June09)_Accounts 2009-NIUT NON LOC-after RAJ final-signed_FST - NIT SEF 2011" xfId="416"/>
    <cellStyle name="_FINALIFRS-LOC Accounts -(30June09)_Accounts 2009-NIUT NON LOC-after RAJ final-signed_Income Statement" xfId="417"/>
    <cellStyle name="_FINALIFRS-LOC Accounts -(30June09)_Accounts 2009-NIUT NON LOC-after RAJ final-signed_Sheet2" xfId="418"/>
    <cellStyle name="_FINALIFRS-LOC Accounts -(30June09)_Accounts 2009-NIUT NON LOC-after RAJ final-signed_Statement of Financial Position" xfId="419"/>
    <cellStyle name="_FINALIFRS-LOC Accounts -(30June09)_Cash Flow " xfId="420"/>
    <cellStyle name="_FINALIFRS-LOC Accounts -(30June09)_Cash flow working" xfId="421"/>
    <cellStyle name="_FINALIFRS-LOC Accounts -(30June09)_Distribution " xfId="422"/>
    <cellStyle name="_FINALIFRS-LOC Accounts -(30June09)_Final Diclosure 10" xfId="793"/>
    <cellStyle name="_FINALIFRS-LOC Accounts -(30June09)_Final RAJ-reviewed Feb 5" xfId="794"/>
    <cellStyle name="_FINALIFRS-LOC Accounts -(30June09)_Income Statement" xfId="423"/>
    <cellStyle name="_FINALIFRS-LOC Accounts -(30June09)_Notes 1-3" xfId="424"/>
    <cellStyle name="_FINALIFRS-LOC Accounts -(30June09)_Other compehensive" xfId="795"/>
    <cellStyle name="_FINALIFRS-LOC Accounts -(30June09)_Sheet2" xfId="16"/>
    <cellStyle name="_FINALIFRS-LOC Accounts -(30June09)_Sheet2 2" xfId="425"/>
    <cellStyle name="_FINALIFRS-LOC Accounts -(30June09)_Sheet2 3" xfId="426"/>
    <cellStyle name="_FINALIFRS-LOC Accounts -(30June09)_Sheet2 4" xfId="427"/>
    <cellStyle name="_FINALIFRS-LOC Accounts -(30June09)_Sheet2_1" xfId="428"/>
    <cellStyle name="_FINALIFRS-LOC Accounts -(30June09)_Sheet2_5.2" xfId="429"/>
    <cellStyle name="_FINALIFRS-LOC Accounts -(30June09)_Sheet2_Cash Flow " xfId="430"/>
    <cellStyle name="_FINALIFRS-LOC Accounts -(30June09)_Sheet2_Cash flow working" xfId="431"/>
    <cellStyle name="_FINALIFRS-LOC Accounts -(30June09)_Sheet2_Distribution " xfId="432"/>
    <cellStyle name="_FINALIFRS-LOC Accounts -(30June09)_Sheet2_Final disclosure final" xfId="796"/>
    <cellStyle name="_FINALIFRS-LOC Accounts -(30June09)_Sheet2_Income Statement" xfId="433"/>
    <cellStyle name="_FINALIFRS-LOC Accounts -(30June09)_Sheet2_Notes 1-3" xfId="434"/>
    <cellStyle name="_FINALIFRS-LOC Accounts -(30June09)_Sheet2_Sheet2" xfId="435"/>
    <cellStyle name="_FINALIFRS-LOC Accounts -(30June09)_Sheet2_Statement of Financial Position" xfId="436"/>
    <cellStyle name="_FINALIFRS-LOC Accounts -(30June09)_Sheet2_UHF" xfId="437"/>
    <cellStyle name="_FINALIFRS-LOC Accounts -(30June09)_Statement of Financial Position" xfId="438"/>
    <cellStyle name="_FINALIFRS-LOC Accounts -(30June09)_UHF" xfId="439"/>
    <cellStyle name="_FINALIFRS-LOC Accounts -(30June09)_Xl0000000" xfId="17"/>
    <cellStyle name="_FINALIFRS-LOC Accounts -(30June09)_Xl0000000 2" xfId="18"/>
    <cellStyle name="_FINALIFRS-LOC Accounts -(30June09)_Xl0000000 3" xfId="440"/>
    <cellStyle name="_FINALIFRS-LOC Accounts -(30June09)_Xl0000000 4" xfId="441"/>
    <cellStyle name="_FINALIFRS-LOC Accounts -(30June09)_Xl0000000_31 Dec Accounts 2009-NIUT" xfId="19"/>
    <cellStyle name="_FINALIFRS-LOC Accounts -(30June09)_Xl0000000_31 Dec Accounts 2009-NIUT after element" xfId="20"/>
    <cellStyle name="_FINALIFRS-LOC Accounts -(30June09)_Xl0000000_31 Dec Accounts 2009-NIUT b" xfId="21"/>
    <cellStyle name="_FINALIFRS-LOC Accounts -(30June09)_Xl0000000_5.2" xfId="442"/>
    <cellStyle name="_FINALIFRS-LOC Accounts -(30June09)_Xl0000000_Accounts 2009-NIUT NON LOC-after RAJ final-signed" xfId="443"/>
    <cellStyle name="_FINALIFRS-LOC Accounts -(30June09)_Xl0000000_After annexure changes NB final" xfId="22"/>
    <cellStyle name="_FINALIFRS-LOC Accounts -(30June09)_Xl0000000_Cash Flow " xfId="444"/>
    <cellStyle name="_FINALIFRS-LOC Accounts -(30June09)_Xl0000000_Cash flow working" xfId="445"/>
    <cellStyle name="_FINALIFRS-LOC Accounts -(30June09)_Xl0000000_Distribution " xfId="446"/>
    <cellStyle name="_FINALIFRS-LOC Accounts -(30June09)_Xl0000000_Final disclosure final" xfId="23"/>
    <cellStyle name="_FINALIFRS-LOC Accounts -(30June09)_Xl0000000_Final RAJ-reviewed Feb 5" xfId="24"/>
    <cellStyle name="_FINALIFRS-LOC Accounts -(30June09)_Xl0000000_Income Statement" xfId="447"/>
    <cellStyle name="_FINALIFRS-LOC Accounts -(30June09)_Xl0000000_Notes 1-3" xfId="448"/>
    <cellStyle name="_FINALIFRS-LOC Accounts -(30June09)_Xl0000000_Sheet2" xfId="449"/>
    <cellStyle name="_FINALIFRS-LOC Accounts -(30June09)_Xl0000000_Statement of Financial Position" xfId="450"/>
    <cellStyle name="_FINALIFRS-LOC Accounts -(30June09)_Xl0000000_UHF" xfId="451"/>
    <cellStyle name="_SAP Break ups for Dec 2008" xfId="25"/>
    <cellStyle name="_Technology MI September v2NB" xfId="26"/>
    <cellStyle name="_Technology MI September v2NB 2" xfId="452"/>
    <cellStyle name="_Technology MI September v2NB 3" xfId="453"/>
    <cellStyle name="_Technology MI September v2NB 4" xfId="454"/>
    <cellStyle name="_Technology MI September v2NB_5.2" xfId="455"/>
    <cellStyle name="_Technology MI September v2NB_Cash Flow " xfId="456"/>
    <cellStyle name="_Technology MI September v2NB_Cash flow working" xfId="457"/>
    <cellStyle name="_Technology MI September v2NB_disclosure investment emof" xfId="27"/>
    <cellStyle name="_Technology MI September v2NB_Distribution " xfId="458"/>
    <cellStyle name="_Technology MI September v2NB_Final disclosure final" xfId="797"/>
    <cellStyle name="_Technology MI September v2NB_Final_Accounts_2009" xfId="28"/>
    <cellStyle name="_Technology MI September v2NB_Income Statement" xfId="459"/>
    <cellStyle name="_Technology MI September v2NB_Income-Statement" xfId="29"/>
    <cellStyle name="_Technology MI September v2NB_Movement in UHF" xfId="30"/>
    <cellStyle name="_Technology MI September v2NB_NIT-EMOF SEP Accounts 2009" xfId="460"/>
    <cellStyle name="_Technology MI September v2NB_Note 11-20" xfId="31"/>
    <cellStyle name="_Technology MI September v2NB_Notes 1-3" xfId="461"/>
    <cellStyle name="_Technology MI September v2NB_Sales &amp; Redemption summary" xfId="32"/>
    <cellStyle name="_Technology MI September v2NB_Sheet2" xfId="462"/>
    <cellStyle name="_Technology MI September v2NB_Statement" xfId="33"/>
    <cellStyle name="_Technology MI September v2NB_Statement of Financial Position" xfId="463"/>
    <cellStyle name="_Technology MI September v2NB_UHF" xfId="464"/>
    <cellStyle name="£ BP" xfId="36"/>
    <cellStyle name="¥ JY" xfId="37"/>
    <cellStyle name="=C:\WINNT\SYSTEM32\COMMAND.COM" xfId="34"/>
    <cellStyle name="=C:\WINNT\SYSTEM32\COMMAND.COM 2" xfId="35"/>
    <cellStyle name="=C:\WINNT\SYSTEM32\COMMAND.COM 2 2" xfId="808"/>
    <cellStyle name="=C:\WINNT\SYSTEM32\COMMAND.COM 3" xfId="465"/>
    <cellStyle name="=C:\WINNT\SYSTEM32\COMMAND.COM 4" xfId="466"/>
    <cellStyle name="=C:\WINNT\SYSTEM32\COMMAND.COM_5.2" xfId="467"/>
    <cellStyle name="20% - Accent1" xfId="38" builtinId="30" customBuiltin="1"/>
    <cellStyle name="20% - Accent1 2" xfId="39"/>
    <cellStyle name="20% - Accent1 2 2" xfId="468"/>
    <cellStyle name="20% - Accent1 2 3" xfId="469"/>
    <cellStyle name="20% - Accent1 2 4" xfId="470"/>
    <cellStyle name="20% - Accent1 2_5.2" xfId="471"/>
    <cellStyle name="20% - Accent1 3" xfId="40"/>
    <cellStyle name="20% - Accent1 3 2" xfId="472"/>
    <cellStyle name="20% - Accent1 3 3" xfId="473"/>
    <cellStyle name="20% - Accent1 3 4" xfId="474"/>
    <cellStyle name="20% - Accent1 3_5.2" xfId="475"/>
    <cellStyle name="20% - Accent1 4" xfId="41"/>
    <cellStyle name="20% - Accent1 5" xfId="476"/>
    <cellStyle name="20% - Accent1 6" xfId="477"/>
    <cellStyle name="20% - Accent2" xfId="42" builtinId="34" customBuiltin="1"/>
    <cellStyle name="20% - Accent2 2" xfId="43"/>
    <cellStyle name="20% - Accent2 2 2" xfId="478"/>
    <cellStyle name="20% - Accent2 2 3" xfId="479"/>
    <cellStyle name="20% - Accent2 2 4" xfId="480"/>
    <cellStyle name="20% - Accent2 2_5.2" xfId="481"/>
    <cellStyle name="20% - Accent2 3" xfId="44"/>
    <cellStyle name="20% - Accent2 3 2" xfId="482"/>
    <cellStyle name="20% - Accent2 3 3" xfId="483"/>
    <cellStyle name="20% - Accent2 3 4" xfId="484"/>
    <cellStyle name="20% - Accent2 3_5.2" xfId="485"/>
    <cellStyle name="20% - Accent2 4" xfId="45"/>
    <cellStyle name="20% - Accent2 5" xfId="486"/>
    <cellStyle name="20% - Accent2 6" xfId="487"/>
    <cellStyle name="20% - Accent3" xfId="46" builtinId="38" customBuiltin="1"/>
    <cellStyle name="20% - Accent3 2" xfId="47"/>
    <cellStyle name="20% - Accent3 2 2" xfId="488"/>
    <cellStyle name="20% - Accent3 2 3" xfId="489"/>
    <cellStyle name="20% - Accent3 2 4" xfId="490"/>
    <cellStyle name="20% - Accent3 2_5.2" xfId="491"/>
    <cellStyle name="20% - Accent3 3" xfId="48"/>
    <cellStyle name="20% - Accent3 3 2" xfId="492"/>
    <cellStyle name="20% - Accent3 3 3" xfId="493"/>
    <cellStyle name="20% - Accent3 3 4" xfId="494"/>
    <cellStyle name="20% - Accent3 3_5.2" xfId="495"/>
    <cellStyle name="20% - Accent3 4" xfId="49"/>
    <cellStyle name="20% - Accent3 5" xfId="496"/>
    <cellStyle name="20% - Accent3 6" xfId="497"/>
    <cellStyle name="20% - Accent4" xfId="50" builtinId="42" customBuiltin="1"/>
    <cellStyle name="20% - Accent4 2" xfId="51"/>
    <cellStyle name="20% - Accent4 2 2" xfId="498"/>
    <cellStyle name="20% - Accent4 2 3" xfId="499"/>
    <cellStyle name="20% - Accent4 2 4" xfId="500"/>
    <cellStyle name="20% - Accent4 2_5.2" xfId="501"/>
    <cellStyle name="20% - Accent4 3" xfId="52"/>
    <cellStyle name="20% - Accent4 3 2" xfId="502"/>
    <cellStyle name="20% - Accent4 3 3" xfId="503"/>
    <cellStyle name="20% - Accent4 3 4" xfId="504"/>
    <cellStyle name="20% - Accent4 3_5.2" xfId="505"/>
    <cellStyle name="20% - Accent4 4" xfId="53"/>
    <cellStyle name="20% - Accent4 5" xfId="506"/>
    <cellStyle name="20% - Accent4 6" xfId="507"/>
    <cellStyle name="20% - Accent5" xfId="54" builtinId="46" customBuiltin="1"/>
    <cellStyle name="20% - Accent5 2" xfId="55"/>
    <cellStyle name="20% - Accent5 2 2" xfId="508"/>
    <cellStyle name="20% - Accent5 2 3" xfId="509"/>
    <cellStyle name="20% - Accent5 2 4" xfId="510"/>
    <cellStyle name="20% - Accent5 2_5.2" xfId="511"/>
    <cellStyle name="20% - Accent5 3" xfId="56"/>
    <cellStyle name="20% - Accent5 3 2" xfId="512"/>
    <cellStyle name="20% - Accent5 3 3" xfId="513"/>
    <cellStyle name="20% - Accent5 3 4" xfId="514"/>
    <cellStyle name="20% - Accent5 3_5.2" xfId="515"/>
    <cellStyle name="20% - Accent5 4" xfId="57"/>
    <cellStyle name="20% - Accent5 5" xfId="516"/>
    <cellStyle name="20% - Accent5 6" xfId="517"/>
    <cellStyle name="20% - Accent6" xfId="58" builtinId="50" customBuiltin="1"/>
    <cellStyle name="20% - Accent6 2" xfId="59"/>
    <cellStyle name="20% - Accent6 2 2" xfId="518"/>
    <cellStyle name="20% - Accent6 2 3" xfId="519"/>
    <cellStyle name="20% - Accent6 2 4" xfId="520"/>
    <cellStyle name="20% - Accent6 2_5.2" xfId="521"/>
    <cellStyle name="20% - Accent6 3" xfId="60"/>
    <cellStyle name="20% - Accent6 3 2" xfId="522"/>
    <cellStyle name="20% - Accent6 3 3" xfId="523"/>
    <cellStyle name="20% - Accent6 3 4" xfId="524"/>
    <cellStyle name="20% - Accent6 3_5.2" xfId="525"/>
    <cellStyle name="20% - Accent6 4" xfId="61"/>
    <cellStyle name="20% - Accent6 5" xfId="526"/>
    <cellStyle name="20% - Accent6 6" xfId="527"/>
    <cellStyle name="40% - Accent1" xfId="62" builtinId="31" customBuiltin="1"/>
    <cellStyle name="40% - Accent1 2" xfId="63"/>
    <cellStyle name="40% - Accent1 2 2" xfId="528"/>
    <cellStyle name="40% - Accent1 2 3" xfId="529"/>
    <cellStyle name="40% - Accent1 2 4" xfId="530"/>
    <cellStyle name="40% - Accent1 2_5.2" xfId="531"/>
    <cellStyle name="40% - Accent1 3" xfId="64"/>
    <cellStyle name="40% - Accent1 3 2" xfId="532"/>
    <cellStyle name="40% - Accent1 3 3" xfId="533"/>
    <cellStyle name="40% - Accent1 3 4" xfId="534"/>
    <cellStyle name="40% - Accent1 3_5.2" xfId="535"/>
    <cellStyle name="40% - Accent1 4" xfId="65"/>
    <cellStyle name="40% - Accent1 5" xfId="536"/>
    <cellStyle name="40% - Accent1 6" xfId="537"/>
    <cellStyle name="40% - Accent2" xfId="66" builtinId="35" customBuiltin="1"/>
    <cellStyle name="40% - Accent2 2" xfId="67"/>
    <cellStyle name="40% - Accent2 2 2" xfId="538"/>
    <cellStyle name="40% - Accent2 2 3" xfId="539"/>
    <cellStyle name="40% - Accent2 2 4" xfId="540"/>
    <cellStyle name="40% - Accent2 2_5.2" xfId="541"/>
    <cellStyle name="40% - Accent2 3" xfId="68"/>
    <cellStyle name="40% - Accent2 3 2" xfId="542"/>
    <cellStyle name="40% - Accent2 3 3" xfId="543"/>
    <cellStyle name="40% - Accent2 3 4" xfId="544"/>
    <cellStyle name="40% - Accent2 3_5.2" xfId="545"/>
    <cellStyle name="40% - Accent2 4" xfId="69"/>
    <cellStyle name="40% - Accent2 5" xfId="546"/>
    <cellStyle name="40% - Accent2 6" xfId="547"/>
    <cellStyle name="40% - Accent3" xfId="70" builtinId="39" customBuiltin="1"/>
    <cellStyle name="40% - Accent3 2" xfId="71"/>
    <cellStyle name="40% - Accent3 2 2" xfId="548"/>
    <cellStyle name="40% - Accent3 2 3" xfId="549"/>
    <cellStyle name="40% - Accent3 2 4" xfId="550"/>
    <cellStyle name="40% - Accent3 2_5.2" xfId="551"/>
    <cellStyle name="40% - Accent3 3" xfId="72"/>
    <cellStyle name="40% - Accent3 3 2" xfId="552"/>
    <cellStyle name="40% - Accent3 3 3" xfId="553"/>
    <cellStyle name="40% - Accent3 3 4" xfId="554"/>
    <cellStyle name="40% - Accent3 3_5.2" xfId="555"/>
    <cellStyle name="40% - Accent3 4" xfId="73"/>
    <cellStyle name="40% - Accent3 5" xfId="556"/>
    <cellStyle name="40% - Accent3 6" xfId="557"/>
    <cellStyle name="40% - Accent4" xfId="74" builtinId="43" customBuiltin="1"/>
    <cellStyle name="40% - Accent4 2" xfId="75"/>
    <cellStyle name="40% - Accent4 2 2" xfId="558"/>
    <cellStyle name="40% - Accent4 2 3" xfId="559"/>
    <cellStyle name="40% - Accent4 2 4" xfId="560"/>
    <cellStyle name="40% - Accent4 2_5.2" xfId="561"/>
    <cellStyle name="40% - Accent4 3" xfId="76"/>
    <cellStyle name="40% - Accent4 3 2" xfId="562"/>
    <cellStyle name="40% - Accent4 3 3" xfId="563"/>
    <cellStyle name="40% - Accent4 3 4" xfId="564"/>
    <cellStyle name="40% - Accent4 3_5.2" xfId="565"/>
    <cellStyle name="40% - Accent4 4" xfId="77"/>
    <cellStyle name="40% - Accent4 5" xfId="566"/>
    <cellStyle name="40% - Accent4 6" xfId="567"/>
    <cellStyle name="40% - Accent5" xfId="78" builtinId="47" customBuiltin="1"/>
    <cellStyle name="40% - Accent5 2" xfId="79"/>
    <cellStyle name="40% - Accent5 2 2" xfId="568"/>
    <cellStyle name="40% - Accent5 2 3" xfId="569"/>
    <cellStyle name="40% - Accent5 2 4" xfId="570"/>
    <cellStyle name="40% - Accent5 2_5.2" xfId="571"/>
    <cellStyle name="40% - Accent5 3" xfId="80"/>
    <cellStyle name="40% - Accent5 3 2" xfId="572"/>
    <cellStyle name="40% - Accent5 3 3" xfId="573"/>
    <cellStyle name="40% - Accent5 3 4" xfId="574"/>
    <cellStyle name="40% - Accent5 3_5.2" xfId="575"/>
    <cellStyle name="40% - Accent5 4" xfId="81"/>
    <cellStyle name="40% - Accent5 5" xfId="576"/>
    <cellStyle name="40% - Accent5 6" xfId="577"/>
    <cellStyle name="40% - Accent6" xfId="82" builtinId="51" customBuiltin="1"/>
    <cellStyle name="40% - Accent6 2" xfId="83"/>
    <cellStyle name="40% - Accent6 2 2" xfId="578"/>
    <cellStyle name="40% - Accent6 2 3" xfId="579"/>
    <cellStyle name="40% - Accent6 2 4" xfId="580"/>
    <cellStyle name="40% - Accent6 2_5.2" xfId="581"/>
    <cellStyle name="40% - Accent6 3" xfId="84"/>
    <cellStyle name="40% - Accent6 3 2" xfId="582"/>
    <cellStyle name="40% - Accent6 3 3" xfId="583"/>
    <cellStyle name="40% - Accent6 3 4" xfId="584"/>
    <cellStyle name="40% - Accent6 3_5.2" xfId="585"/>
    <cellStyle name="40% - Accent6 4" xfId="85"/>
    <cellStyle name="40% - Accent6 5" xfId="586"/>
    <cellStyle name="40% - Accent6 6" xfId="587"/>
    <cellStyle name="60% - Accent1" xfId="86" builtinId="32" customBuiltin="1"/>
    <cellStyle name="60% - Accent1 2" xfId="87"/>
    <cellStyle name="60% - Accent1 3" xfId="88"/>
    <cellStyle name="60% - Accent1 4" xfId="89"/>
    <cellStyle name="60% - Accent2" xfId="90" builtinId="36" customBuiltin="1"/>
    <cellStyle name="60% - Accent2 2" xfId="91"/>
    <cellStyle name="60% - Accent2 3" xfId="92"/>
    <cellStyle name="60% - Accent2 4" xfId="93"/>
    <cellStyle name="60% - Accent3" xfId="94" builtinId="40" customBuiltin="1"/>
    <cellStyle name="60% - Accent3 2" xfId="95"/>
    <cellStyle name="60% - Accent3 3" xfId="96"/>
    <cellStyle name="60% - Accent3 4" xfId="97"/>
    <cellStyle name="60% - Accent4" xfId="98" builtinId="44" customBuiltin="1"/>
    <cellStyle name="60% - Accent4 2" xfId="99"/>
    <cellStyle name="60% - Accent4 3" xfId="100"/>
    <cellStyle name="60% - Accent4 4" xfId="101"/>
    <cellStyle name="60% - Accent5" xfId="102" builtinId="48" customBuiltin="1"/>
    <cellStyle name="60% - Accent5 2" xfId="103"/>
    <cellStyle name="60% - Accent5 3" xfId="104"/>
    <cellStyle name="60% - Accent5 4" xfId="105"/>
    <cellStyle name="60% - Accent6" xfId="106" builtinId="52" customBuiltin="1"/>
    <cellStyle name="60% - Accent6 2" xfId="107"/>
    <cellStyle name="60% - Accent6 3" xfId="108"/>
    <cellStyle name="60% - Accent6 4" xfId="109"/>
    <cellStyle name="9999/99/99" xfId="110"/>
    <cellStyle name="Accent1" xfId="111" builtinId="29" customBuiltin="1"/>
    <cellStyle name="Accent1 2" xfId="112"/>
    <cellStyle name="Accent1 3" xfId="113"/>
    <cellStyle name="Accent1 4" xfId="114"/>
    <cellStyle name="Accent2" xfId="115" builtinId="33" customBuiltin="1"/>
    <cellStyle name="Accent2 2" xfId="116"/>
    <cellStyle name="Accent2 3" xfId="117"/>
    <cellStyle name="Accent2 4" xfId="118"/>
    <cellStyle name="Accent3" xfId="119" builtinId="37" customBuiltin="1"/>
    <cellStyle name="Accent3 2" xfId="120"/>
    <cellStyle name="Accent3 3" xfId="121"/>
    <cellStyle name="Accent3 4" xfId="122"/>
    <cellStyle name="Accent4" xfId="123" builtinId="41" customBuiltin="1"/>
    <cellStyle name="Accent4 2" xfId="124"/>
    <cellStyle name="Accent4 3" xfId="125"/>
    <cellStyle name="Accent4 4" xfId="126"/>
    <cellStyle name="Accent5" xfId="127" builtinId="45" customBuiltin="1"/>
    <cellStyle name="Accent5 2" xfId="128"/>
    <cellStyle name="Accent5 3" xfId="129"/>
    <cellStyle name="Accent5 4" xfId="130"/>
    <cellStyle name="Accent6" xfId="131" builtinId="49" customBuiltin="1"/>
    <cellStyle name="Accent6 2" xfId="132"/>
    <cellStyle name="Accent6 3" xfId="133"/>
    <cellStyle name="Accent6 4" xfId="134"/>
    <cellStyle name="Auto_OpenAuto_CloseExtractD" xfId="135"/>
    <cellStyle name="Bad" xfId="136" builtinId="27" customBuiltin="1"/>
    <cellStyle name="Bad 2" xfId="137"/>
    <cellStyle name="Bad 3" xfId="138"/>
    <cellStyle name="Bad 4" xfId="139"/>
    <cellStyle name="Body" xfId="140"/>
    <cellStyle name="Bold/Border" xfId="141"/>
    <cellStyle name="Brand Align Left Text" xfId="142"/>
    <cellStyle name="Brand Default" xfId="143"/>
    <cellStyle name="Brand Percent" xfId="144"/>
    <cellStyle name="Brand Source" xfId="145"/>
    <cellStyle name="Brand Subtitle with Underline" xfId="146"/>
    <cellStyle name="Brand Subtitle without Underline" xfId="147"/>
    <cellStyle name="Brand Title" xfId="148"/>
    <cellStyle name="Bullet" xfId="149"/>
    <cellStyle name="Calc Currency (0)" xfId="150"/>
    <cellStyle name="Calc Currency (0) 2" xfId="151"/>
    <cellStyle name="Calc Currency (0) 3" xfId="588"/>
    <cellStyle name="Calc Currency (0) 4" xfId="589"/>
    <cellStyle name="Calc Currency (0)_5.2" xfId="590"/>
    <cellStyle name="Calculation" xfId="152" builtinId="22" customBuiltin="1"/>
    <cellStyle name="Calculation 2" xfId="153"/>
    <cellStyle name="Calculation 3" xfId="154"/>
    <cellStyle name="Calculation 4" xfId="155"/>
    <cellStyle name="Check Cell" xfId="156" builtinId="23" customBuiltin="1"/>
    <cellStyle name="Check Cell 2" xfId="157"/>
    <cellStyle name="Check Cell 3" xfId="158"/>
    <cellStyle name="Check Cell 4" xfId="159"/>
    <cellStyle name="Comma" xfId="160" builtinId="3"/>
    <cellStyle name="Comma  - Style1" xfId="161"/>
    <cellStyle name="Comma  - Style2" xfId="162"/>
    <cellStyle name="Comma  - Style3" xfId="163"/>
    <cellStyle name="Comma  - Style4" xfId="164"/>
    <cellStyle name="Comma  - Style5" xfId="165"/>
    <cellStyle name="Comma  - Style6" xfId="166"/>
    <cellStyle name="Comma  - Style7" xfId="167"/>
    <cellStyle name="Comma  - Style8" xfId="168"/>
    <cellStyle name="Comma 10" xfId="169"/>
    <cellStyle name="Comma 10 2" xfId="591"/>
    <cellStyle name="Comma 10 3" xfId="592"/>
    <cellStyle name="Comma 10 4" xfId="593"/>
    <cellStyle name="Comma 11" xfId="170"/>
    <cellStyle name="Comma 11 2" xfId="594"/>
    <cellStyle name="Comma 11 3" xfId="595"/>
    <cellStyle name="Comma 11 4" xfId="596"/>
    <cellStyle name="Comma 12" xfId="171"/>
    <cellStyle name="Comma 13" xfId="172"/>
    <cellStyle name="Comma 13 2" xfId="173"/>
    <cellStyle name="Comma 14" xfId="174"/>
    <cellStyle name="Comma 14 2" xfId="771"/>
    <cellStyle name="Comma 14 2 2" xfId="798"/>
    <cellStyle name="Comma 14 2 3" xfId="816"/>
    <cellStyle name="Comma 14 3" xfId="783"/>
    <cellStyle name="Comma 14 4" xfId="809"/>
    <cellStyle name="Comma 15" xfId="175"/>
    <cellStyle name="Comma 16" xfId="597"/>
    <cellStyle name="Comma 16 2" xfId="778"/>
    <cellStyle name="Comma 16 2 2" xfId="799"/>
    <cellStyle name="Comma 16 2 3" xfId="820"/>
    <cellStyle name="Comma 16 3" xfId="788"/>
    <cellStyle name="Comma 16 4" xfId="815"/>
    <cellStyle name="Comma 17" xfId="780"/>
    <cellStyle name="Comma 17 2" xfId="792"/>
    <cellStyle name="Comma 17 3" xfId="822"/>
    <cellStyle name="Comma 18" xfId="807"/>
    <cellStyle name="Comma 18 2" xfId="824"/>
    <cellStyle name="Comma 19" xfId="790"/>
    <cellStyle name="Comma 19 2" xfId="829"/>
    <cellStyle name="Comma 19 3" xfId="826"/>
    <cellStyle name="Comma 2" xfId="176"/>
    <cellStyle name="Comma 2 10" xfId="598"/>
    <cellStyle name="Comma 2 11" xfId="599"/>
    <cellStyle name="Comma 2 2" xfId="177"/>
    <cellStyle name="Comma 2 2 2" xfId="178"/>
    <cellStyle name="Comma 2 2 2 2" xfId="600"/>
    <cellStyle name="Comma 2 2 2 3" xfId="601"/>
    <cellStyle name="Comma 2 2 2 4" xfId="602"/>
    <cellStyle name="Comma 2 2 3" xfId="179"/>
    <cellStyle name="Comma 2 2 3 2" xfId="603"/>
    <cellStyle name="Comma 2 2 3 3" xfId="604"/>
    <cellStyle name="Comma 2 2 3 4" xfId="605"/>
    <cellStyle name="Comma 2 2 4" xfId="606"/>
    <cellStyle name="Comma 2 2 5" xfId="607"/>
    <cellStyle name="Comma 2 2 6" xfId="608"/>
    <cellStyle name="Comma 2 3" xfId="180"/>
    <cellStyle name="Comma 2 3 2" xfId="609"/>
    <cellStyle name="Comma 2 3 3" xfId="610"/>
    <cellStyle name="Comma 2 3 4" xfId="611"/>
    <cellStyle name="Comma 2 4" xfId="181"/>
    <cellStyle name="Comma 2 4 2" xfId="612"/>
    <cellStyle name="Comma 2 4 3" xfId="613"/>
    <cellStyle name="Comma 2 4 4" xfId="614"/>
    <cellStyle name="Comma 2 5" xfId="182"/>
    <cellStyle name="Comma 2 5 2" xfId="615"/>
    <cellStyle name="Comma 2 5 3" xfId="616"/>
    <cellStyle name="Comma 2 5 4" xfId="617"/>
    <cellStyle name="Comma 2 6" xfId="183"/>
    <cellStyle name="Comma 2 6 2" xfId="618"/>
    <cellStyle name="Comma 2 6 3" xfId="619"/>
    <cellStyle name="Comma 2 6 4" xfId="620"/>
    <cellStyle name="Comma 2 7" xfId="184"/>
    <cellStyle name="Comma 2 7 2" xfId="621"/>
    <cellStyle name="Comma 2 7 3" xfId="622"/>
    <cellStyle name="Comma 2 7 4" xfId="623"/>
    <cellStyle name="Comma 2 8" xfId="185"/>
    <cellStyle name="Comma 2 8 2" xfId="624"/>
    <cellStyle name="Comma 2 8 3" xfId="625"/>
    <cellStyle name="Comma 2 8 4" xfId="626"/>
    <cellStyle name="Comma 2 9" xfId="627"/>
    <cellStyle name="Comma 2_Xl0000002" xfId="186"/>
    <cellStyle name="Comma 22" xfId="187"/>
    <cellStyle name="Comma 3" xfId="188"/>
    <cellStyle name="Comma 3 2" xfId="189"/>
    <cellStyle name="Comma 3 2 2" xfId="190"/>
    <cellStyle name="Comma 3 3" xfId="191"/>
    <cellStyle name="Comma 3 4" xfId="192"/>
    <cellStyle name="Comma 3 5" xfId="628"/>
    <cellStyle name="Comma 4" xfId="193"/>
    <cellStyle name="Comma 4 2" xfId="194"/>
    <cellStyle name="Comma 5" xfId="195"/>
    <cellStyle name="Comma 5 2" xfId="196"/>
    <cellStyle name="Comma 5 3" xfId="629"/>
    <cellStyle name="Comma 5 4" xfId="630"/>
    <cellStyle name="Comma 6" xfId="197"/>
    <cellStyle name="Comma 7" xfId="198"/>
    <cellStyle name="Comma 8" xfId="199"/>
    <cellStyle name="Comma 9" xfId="200"/>
    <cellStyle name="Comma 9 2" xfId="631"/>
    <cellStyle name="Comma 9 3" xfId="632"/>
    <cellStyle name="Comma 9 4" xfId="633"/>
    <cellStyle name="Comma_Final accou by farrukh PCMF" xfId="201"/>
    <cellStyle name="CompanyName" xfId="202"/>
    <cellStyle name="Component" xfId="203"/>
    <cellStyle name="Copied" xfId="204"/>
    <cellStyle name="Currency 2" xfId="205"/>
    <cellStyle name="Currency 2 2" xfId="634"/>
    <cellStyle name="Currency 2 3" xfId="635"/>
    <cellStyle name="Currency 2 4" xfId="636"/>
    <cellStyle name="Dash" xfId="206"/>
    <cellStyle name="Description" xfId="207"/>
    <cellStyle name="Dollar" xfId="208"/>
    <cellStyle name="Entered" xfId="209"/>
    <cellStyle name="Euro" xfId="210"/>
    <cellStyle name="Euro 2" xfId="637"/>
    <cellStyle name="Euro 3" xfId="638"/>
    <cellStyle name="Euro 4" xfId="639"/>
    <cellStyle name="Explanatory Text" xfId="211" builtinId="53" customBuiltin="1"/>
    <cellStyle name="Explanatory Text 2" xfId="212"/>
    <cellStyle name="Explanatory Text 3" xfId="213"/>
    <cellStyle name="Explanatory Text 4" xfId="214"/>
    <cellStyle name="Feature" xfId="215"/>
    <cellStyle name="Fixed" xfId="216"/>
    <cellStyle name="Fixed 2" xfId="640"/>
    <cellStyle name="Fixed 3" xfId="641"/>
    <cellStyle name="Fixed 4" xfId="642"/>
    <cellStyle name="Fixed_5.2" xfId="643"/>
    <cellStyle name="Good" xfId="217" builtinId="26" customBuiltin="1"/>
    <cellStyle name="Good 2" xfId="218"/>
    <cellStyle name="Good 3" xfId="219"/>
    <cellStyle name="Good 4" xfId="220"/>
    <cellStyle name="Grey" xfId="221"/>
    <cellStyle name="Header1" xfId="222"/>
    <cellStyle name="Header2" xfId="223"/>
    <cellStyle name="Heading 1" xfId="224" builtinId="16" customBuiltin="1"/>
    <cellStyle name="Heading 1 2" xfId="225"/>
    <cellStyle name="Heading 1 3" xfId="226"/>
    <cellStyle name="Heading 1 4" xfId="227"/>
    <cellStyle name="Heading 2" xfId="228" builtinId="17" customBuiltin="1"/>
    <cellStyle name="Heading 2 2" xfId="229"/>
    <cellStyle name="Heading 2 3" xfId="230"/>
    <cellStyle name="Heading 2 4" xfId="231"/>
    <cellStyle name="Heading 3" xfId="232" builtinId="18" customBuiltin="1"/>
    <cellStyle name="Heading 3 2" xfId="233"/>
    <cellStyle name="Heading 3 3" xfId="234"/>
    <cellStyle name="Heading 3 4" xfId="235"/>
    <cellStyle name="Heading 4" xfId="236" builtinId="19" customBuiltin="1"/>
    <cellStyle name="Heading 4 2" xfId="237"/>
    <cellStyle name="Heading 4 3" xfId="238"/>
    <cellStyle name="Heading 4 4" xfId="239"/>
    <cellStyle name="Input" xfId="240" builtinId="20" customBuiltin="1"/>
    <cellStyle name="Input [yellow]" xfId="241"/>
    <cellStyle name="Input 2" xfId="242"/>
    <cellStyle name="Input 3" xfId="243"/>
    <cellStyle name="Input 4" xfId="244"/>
    <cellStyle name="Instructions" xfId="245"/>
    <cellStyle name="Integer" xfId="246"/>
    <cellStyle name="Integer 2" xfId="644"/>
    <cellStyle name="Integer 3" xfId="645"/>
    <cellStyle name="Integer 4" xfId="646"/>
    <cellStyle name="Integer_5.2" xfId="647"/>
    <cellStyle name="Intial cap" xfId="247"/>
    <cellStyle name="Linked Cell" xfId="248" builtinId="24" customBuiltin="1"/>
    <cellStyle name="Linked Cell 2" xfId="249"/>
    <cellStyle name="Linked Cell 3" xfId="250"/>
    <cellStyle name="Linked Cell 4" xfId="251"/>
    <cellStyle name="Millares [0]_laroux" xfId="252"/>
    <cellStyle name="Millares_laroux" xfId="253"/>
    <cellStyle name="Milliers [0]_mk" xfId="254"/>
    <cellStyle name="Milliers_mk" xfId="255"/>
    <cellStyle name="Monétaire [0]_mk" xfId="256"/>
    <cellStyle name="Monétaire_mk" xfId="257"/>
    <cellStyle name="MOQ" xfId="258"/>
    <cellStyle name="Neutral" xfId="259" builtinId="28" customBuiltin="1"/>
    <cellStyle name="Neutral 2" xfId="260"/>
    <cellStyle name="Neutral 3" xfId="261"/>
    <cellStyle name="Neutral 4" xfId="262"/>
    <cellStyle name="New Markets operations Indicators" xfId="263"/>
    <cellStyle name="Normal" xfId="0" builtinId="0"/>
    <cellStyle name="Normal - Style1" xfId="264"/>
    <cellStyle name="Normal - Style1 2" xfId="648"/>
    <cellStyle name="Normal - Style1 3" xfId="649"/>
    <cellStyle name="Normal - Style1 4" xfId="650"/>
    <cellStyle name="Normal - Style1_5.2" xfId="651"/>
    <cellStyle name="Normal 10" xfId="265"/>
    <cellStyle name="Normal 10 2" xfId="266"/>
    <cellStyle name="Normal 10 2 2" xfId="773"/>
    <cellStyle name="Normal 10 2 2 2" xfId="800"/>
    <cellStyle name="Normal 10 2 2 3" xfId="817"/>
    <cellStyle name="Normal 10 2 3" xfId="784"/>
    <cellStyle name="Normal 10 2 4" xfId="810"/>
    <cellStyle name="Normal 11" xfId="267"/>
    <cellStyle name="Normal 12" xfId="268"/>
    <cellStyle name="Normal 13" xfId="269"/>
    <cellStyle name="Normal 14" xfId="270"/>
    <cellStyle name="Normal 15" xfId="271"/>
    <cellStyle name="Normal 16" xfId="272"/>
    <cellStyle name="Normal 16 2" xfId="775"/>
    <cellStyle name="Normal 16 2 2" xfId="801"/>
    <cellStyle name="Normal 16 2 3" xfId="818"/>
    <cellStyle name="Normal 16 3" xfId="785"/>
    <cellStyle name="Normal 16 4" xfId="811"/>
    <cellStyle name="Normal 17" xfId="273"/>
    <cellStyle name="Normal 18" xfId="779"/>
    <cellStyle name="Normal 18 2" xfId="791"/>
    <cellStyle name="Normal 18 3" xfId="821"/>
    <cellStyle name="Normal 19" xfId="782"/>
    <cellStyle name="Normal 19 2" xfId="802"/>
    <cellStyle name="Normal 2" xfId="274"/>
    <cellStyle name="Normal 2 10" xfId="652"/>
    <cellStyle name="Normal 2 11" xfId="653"/>
    <cellStyle name="Normal 2 12" xfId="654"/>
    <cellStyle name="Normal 2 2" xfId="275"/>
    <cellStyle name="Normal 2 2 10" xfId="655"/>
    <cellStyle name="Normal 2 2 2" xfId="276"/>
    <cellStyle name="Normal 2 2 2 2" xfId="656"/>
    <cellStyle name="Normal 2 2 2 3" xfId="657"/>
    <cellStyle name="Normal 2 2 2 4" xfId="658"/>
    <cellStyle name="Normal 2 2 2_5.2" xfId="659"/>
    <cellStyle name="Normal 2 2 3" xfId="277"/>
    <cellStyle name="Normal 2 2 3 2" xfId="660"/>
    <cellStyle name="Normal 2 2 3 3" xfId="661"/>
    <cellStyle name="Normal 2 2 3 4" xfId="662"/>
    <cellStyle name="Normal 2 2 3_5.2" xfId="663"/>
    <cellStyle name="Normal 2 2 4" xfId="664"/>
    <cellStyle name="Normal 2 2 5" xfId="665"/>
    <cellStyle name="Normal 2 2 6" xfId="666"/>
    <cellStyle name="Normal 2 2 7" xfId="667"/>
    <cellStyle name="Normal 2 2 8" xfId="668"/>
    <cellStyle name="Normal 2 2 9" xfId="669"/>
    <cellStyle name="Normal 2 2_5.2" xfId="670"/>
    <cellStyle name="Normal 2 3" xfId="278"/>
    <cellStyle name="Normal 2 3 2" xfId="671"/>
    <cellStyle name="Normal 2 3 3" xfId="672"/>
    <cellStyle name="Normal 2 3 4" xfId="673"/>
    <cellStyle name="Normal 2 3_5.2" xfId="674"/>
    <cellStyle name="Normal 2 4" xfId="279"/>
    <cellStyle name="Normal 2 4 2" xfId="675"/>
    <cellStyle name="Normal 2 4 3" xfId="676"/>
    <cellStyle name="Normal 2 4 4" xfId="677"/>
    <cellStyle name="Normal 2 4_5.2" xfId="678"/>
    <cellStyle name="Normal 2 5" xfId="280"/>
    <cellStyle name="Normal 2 5 2" xfId="679"/>
    <cellStyle name="Normal 2 5 3" xfId="680"/>
    <cellStyle name="Normal 2 5 4" xfId="681"/>
    <cellStyle name="Normal 2 5_5.2" xfId="682"/>
    <cellStyle name="Normal 2 6" xfId="281"/>
    <cellStyle name="Normal 2 6 2" xfId="683"/>
    <cellStyle name="Normal 2 6 3" xfId="684"/>
    <cellStyle name="Normal 2 6 4" xfId="685"/>
    <cellStyle name="Normal 2 6_5.2" xfId="686"/>
    <cellStyle name="Normal 2 7" xfId="282"/>
    <cellStyle name="Normal 2 8" xfId="283"/>
    <cellStyle name="Normal 2 9" xfId="284"/>
    <cellStyle name="Normal 2_3_After_SW_changes_PIF_accounts_2008" xfId="285"/>
    <cellStyle name="Normal 20" xfId="803"/>
    <cellStyle name="Normal 21" xfId="789"/>
    <cellStyle name="Normal 21 2" xfId="828"/>
    <cellStyle name="Normal 21 3" xfId="825"/>
    <cellStyle name="Normal 22" xfId="806"/>
    <cellStyle name="Normal 3" xfId="286"/>
    <cellStyle name="Normal 3 2" xfId="287"/>
    <cellStyle name="Normal 3 2 2" xfId="288"/>
    <cellStyle name="Normal 3 2 3" xfId="687"/>
    <cellStyle name="Normal 3 2 4" xfId="688"/>
    <cellStyle name="Normal 3 2_5.2" xfId="689"/>
    <cellStyle name="Normal 3 3" xfId="289"/>
    <cellStyle name="Normal 3 4" xfId="776"/>
    <cellStyle name="Normal 3 5" xfId="772"/>
    <cellStyle name="Normal 3 6" xfId="774"/>
    <cellStyle name="Normal 3 7" xfId="770"/>
    <cellStyle name="Normal 3 8" xfId="786"/>
    <cellStyle name="Normal 3 9" xfId="812"/>
    <cellStyle name="Normal 3_31 Dec Accounts 2009-NIUT" xfId="290"/>
    <cellStyle name="Normal 4" xfId="291"/>
    <cellStyle name="Normal 4 2" xfId="292"/>
    <cellStyle name="Normal 4 2 2" xfId="690"/>
    <cellStyle name="Normal 4 2 3" xfId="691"/>
    <cellStyle name="Normal 4 2 4" xfId="692"/>
    <cellStyle name="Normal 4 2_5.2" xfId="693"/>
    <cellStyle name="Normal 4 3" xfId="694"/>
    <cellStyle name="Normal 4 4" xfId="695"/>
    <cellStyle name="Normal 4 5" xfId="696"/>
    <cellStyle name="Normal 4_5.2" xfId="697"/>
    <cellStyle name="Normal 5" xfId="293"/>
    <cellStyle name="Normal 5 10" xfId="698"/>
    <cellStyle name="Normal 5 2" xfId="294"/>
    <cellStyle name="Normal 5 2 2" xfId="699"/>
    <cellStyle name="Normal 5 2 3" xfId="700"/>
    <cellStyle name="Normal 5 2 4" xfId="701"/>
    <cellStyle name="Normal 5 2_5.2" xfId="702"/>
    <cellStyle name="Normal 5 3" xfId="295"/>
    <cellStyle name="Normal 5 4" xfId="703"/>
    <cellStyle name="Normal 5 5" xfId="704"/>
    <cellStyle name="Normal 5 6" xfId="705"/>
    <cellStyle name="Normal 5 7" xfId="706"/>
    <cellStyle name="Normal 5 8" xfId="707"/>
    <cellStyle name="Normal 5 9" xfId="708"/>
    <cellStyle name="Normal 5_31 Dec Accounts 2009-NIUT" xfId="296"/>
    <cellStyle name="Normal 6" xfId="297"/>
    <cellStyle name="Normal 6 2" xfId="298"/>
    <cellStyle name="Normal 6 3" xfId="709"/>
    <cellStyle name="Normal 6 4" xfId="710"/>
    <cellStyle name="Normal 6_5.2" xfId="711"/>
    <cellStyle name="Normal 7" xfId="299"/>
    <cellStyle name="Normal 7 2" xfId="712"/>
    <cellStyle name="Normal 7 3" xfId="713"/>
    <cellStyle name="Normal 7 4" xfId="714"/>
    <cellStyle name="Normal 7_5.2" xfId="715"/>
    <cellStyle name="Normal 8" xfId="300"/>
    <cellStyle name="Normal 8 2" xfId="301"/>
    <cellStyle name="Normal 8 3" xfId="716"/>
    <cellStyle name="Normal 8 4" xfId="717"/>
    <cellStyle name="Normal 8_5.2" xfId="718"/>
    <cellStyle name="Normal 9" xfId="302"/>
    <cellStyle name="Normal_5-1-2010-NIT-EMOF DEC Accounts 2009(F)" xfId="386"/>
    <cellStyle name="Normal_ACCONTS MONTHLY dec03" xfId="303"/>
    <cellStyle name="Normal_Accounts June 2007 5 Col 10.08.07" xfId="834"/>
    <cellStyle name="Normal_Balanca sheet analysis 01" xfId="304"/>
    <cellStyle name="Normal_Cash Flow for the period" xfId="305"/>
    <cellStyle name="Normal_Final accou by farrukh PCMF" xfId="306"/>
    <cellStyle name="Normal_Final accou by farrukh PCMF_Accounts 2009-NIUT NON LOC-after RAJ final-signed" xfId="814"/>
    <cellStyle name="Normal_Final_Accounts_2009_NIT GBF  Financial Statements - Septembr 30, 2010 - Draft 1" xfId="833"/>
    <cellStyle name="Normal_Half_Yearly_Accounts_NCF_2006__auditors_" xfId="307"/>
    <cellStyle name="Normal_NIT GBF  Financial Statements - HY 09 SALMAN REVIEWED" xfId="831"/>
    <cellStyle name="Normal_NIT GBF  Financial Statements - HY 09 SALMAN REVIEWED_NIT GBF - FS - Dec 31, 2010 - Income" xfId="832"/>
    <cellStyle name="Normal_NIT-EMOF DEC Accounts 2009(8-1-2010)" xfId="387"/>
    <cellStyle name="Normal_NIT-EMOF SEP Accounts 2009" xfId="308"/>
    <cellStyle name="Normal_Portfolio" xfId="309"/>
    <cellStyle name="Normal_Worksheet in   PGF 2005 final" xfId="310"/>
    <cellStyle name="Normal_Worksheet in   PGF 2005 final 2" xfId="311"/>
    <cellStyle name="Normal_Worksheet in   PGF 2005 final_Accounts 2009-NIUT NON LOC-after RAJ final-signed" xfId="312"/>
    <cellStyle name="Normal_Worksheet in   PGF 2005 final_Accounts 2009-NIUT NON LOC-after RAJ final-signed 2" xfId="388"/>
    <cellStyle name="Note" xfId="313" builtinId="10" customBuiltin="1"/>
    <cellStyle name="Note 2" xfId="314"/>
    <cellStyle name="Note 2 2" xfId="719"/>
    <cellStyle name="Note 2 3" xfId="720"/>
    <cellStyle name="Note 2 4" xfId="721"/>
    <cellStyle name="Note 3" xfId="315"/>
    <cellStyle name="Note 3 2" xfId="722"/>
    <cellStyle name="Note 3 3" xfId="723"/>
    <cellStyle name="Note 3 4" xfId="724"/>
    <cellStyle name="Note 4" xfId="316"/>
    <cellStyle name="Note 5" xfId="725"/>
    <cellStyle name="Note 6" xfId="726"/>
    <cellStyle name="Option" xfId="317"/>
    <cellStyle name="Output" xfId="318" builtinId="21" customBuiltin="1"/>
    <cellStyle name="Output 2" xfId="319"/>
    <cellStyle name="Output 3" xfId="320"/>
    <cellStyle name="Output 4" xfId="321"/>
    <cellStyle name="OUTPUT AMOUNTS" xfId="322"/>
    <cellStyle name="Output Amounts 2" xfId="323"/>
    <cellStyle name="Output Amounts_DOM Balanced 24 Jan 2008" xfId="324"/>
    <cellStyle name="OUTPUT COLUMN HEADINGS" xfId="325"/>
    <cellStyle name="Output Column Headings 2" xfId="326"/>
    <cellStyle name="Output Column Headings_KP_-_ANNUAL_ACCOUNTS EPZ" xfId="327"/>
    <cellStyle name="OUTPUT LINE ITEMS" xfId="328"/>
    <cellStyle name="Output Line Items 2" xfId="329"/>
    <cellStyle name="Output Line Items_DOM Balanced 24 Jan 2008" xfId="330"/>
    <cellStyle name="OUTPUT REPORT HEADING" xfId="331"/>
    <cellStyle name="Output Report Heading 2" xfId="332"/>
    <cellStyle name="Output Report Heading_KP_-_ANNUAL_ACCOUNTS EPZ" xfId="333"/>
    <cellStyle name="OUTPUT REPORT TITLE" xfId="334"/>
    <cellStyle name="Output Report Title 2" xfId="335"/>
    <cellStyle name="Output Report Title_KP_-_ANNUAL_ACCOUNTS EPZ" xfId="336"/>
    <cellStyle name="Percent [2]" xfId="337"/>
    <cellStyle name="Percent [2] 2" xfId="727"/>
    <cellStyle name="Percent [2] 3" xfId="728"/>
    <cellStyle name="Percent [2] 4" xfId="729"/>
    <cellStyle name="Percent 2" xfId="338"/>
    <cellStyle name="Percent 2 10" xfId="730"/>
    <cellStyle name="Percent 2 2" xfId="339"/>
    <cellStyle name="Percent 2 2 2" xfId="340"/>
    <cellStyle name="Percent 2 2 2 2" xfId="731"/>
    <cellStyle name="Percent 2 2 2 3" xfId="732"/>
    <cellStyle name="Percent 2 2 2 4" xfId="733"/>
    <cellStyle name="Percent 2 2 3" xfId="341"/>
    <cellStyle name="Percent 2 2 3 2" xfId="734"/>
    <cellStyle name="Percent 2 2 3 3" xfId="735"/>
    <cellStyle name="Percent 2 2 3 4" xfId="736"/>
    <cellStyle name="Percent 2 2 4" xfId="737"/>
    <cellStyle name="Percent 2 2 5" xfId="738"/>
    <cellStyle name="Percent 2 2 6" xfId="739"/>
    <cellStyle name="Percent 2 3" xfId="342"/>
    <cellStyle name="Percent 2 3 2" xfId="740"/>
    <cellStyle name="Percent 2 3 3" xfId="741"/>
    <cellStyle name="Percent 2 3 4" xfId="742"/>
    <cellStyle name="Percent 2 4" xfId="343"/>
    <cellStyle name="Percent 2 4 2" xfId="743"/>
    <cellStyle name="Percent 2 4 3" xfId="744"/>
    <cellStyle name="Percent 2 4 4" xfId="745"/>
    <cellStyle name="Percent 2 5" xfId="344"/>
    <cellStyle name="Percent 2 5 2" xfId="746"/>
    <cellStyle name="Percent 2 5 3" xfId="747"/>
    <cellStyle name="Percent 2 5 4" xfId="748"/>
    <cellStyle name="Percent 2 6" xfId="345"/>
    <cellStyle name="Percent 2 6 2" xfId="749"/>
    <cellStyle name="Percent 2 6 3" xfId="750"/>
    <cellStyle name="Percent 2 6 4" xfId="751"/>
    <cellStyle name="Percent 2 7" xfId="346"/>
    <cellStyle name="Percent 2 7 2" xfId="752"/>
    <cellStyle name="Percent 2 7 3" xfId="753"/>
    <cellStyle name="Percent 2 7 4" xfId="754"/>
    <cellStyle name="Percent 2 8" xfId="755"/>
    <cellStyle name="Percent 2 9" xfId="756"/>
    <cellStyle name="Percent 3" xfId="347"/>
    <cellStyle name="Percent 3 2" xfId="348"/>
    <cellStyle name="Percent 3 3" xfId="757"/>
    <cellStyle name="Percent 3 4" xfId="758"/>
    <cellStyle name="Percent 4" xfId="349"/>
    <cellStyle name="Percent 4 2" xfId="759"/>
    <cellStyle name="Percent 4 3" xfId="760"/>
    <cellStyle name="Percent 4 4" xfId="761"/>
    <cellStyle name="Percent 5" xfId="350"/>
    <cellStyle name="Percent 5 2" xfId="351"/>
    <cellStyle name="Percent 5 3" xfId="762"/>
    <cellStyle name="Percent 5 4" xfId="763"/>
    <cellStyle name="Percent 6" xfId="352"/>
    <cellStyle name="Percent 6 2" xfId="777"/>
    <cellStyle name="Percent 6 2 2" xfId="804"/>
    <cellStyle name="Percent 6 2 3" xfId="819"/>
    <cellStyle name="Percent 6 3" xfId="787"/>
    <cellStyle name="Percent 6 4" xfId="813"/>
    <cellStyle name="Percent 7" xfId="353"/>
    <cellStyle name="Percent 8" xfId="781"/>
    <cellStyle name="Percent 8 2" xfId="805"/>
    <cellStyle name="Percent 8 3" xfId="823"/>
    <cellStyle name="Percent 9" xfId="827"/>
    <cellStyle name="Percent 9 2" xfId="830"/>
    <cellStyle name="Pivot Style Medium 13" xfId="354"/>
    <cellStyle name="Pivot Style Medium 13 2" xfId="764"/>
    <cellStyle name="Pivot Style Medium 13 3" xfId="765"/>
    <cellStyle name="Pivot Style Medium 13 4" xfId="766"/>
    <cellStyle name="PSChar" xfId="355"/>
    <cellStyle name="RevList" xfId="356"/>
    <cellStyle name="ri_Category 30-06-07_4" xfId="357"/>
    <cellStyle name="SAPBEXstdItem" xfId="358"/>
    <cellStyle name="Style 1" xfId="359"/>
    <cellStyle name="Style 1 2" xfId="360"/>
    <cellStyle name="Style 1 3" xfId="767"/>
    <cellStyle name="Style 1 4" xfId="768"/>
    <cellStyle name="Style 1_5.2" xfId="769"/>
    <cellStyle name="Sub-group Hdg" xfId="361"/>
    <cellStyle name="Sub-heading" xfId="362"/>
    <cellStyle name="Subtotal" xfId="363"/>
    <cellStyle name="Title" xfId="364" builtinId="15" customBuiltin="1"/>
    <cellStyle name="Title 2" xfId="365"/>
    <cellStyle name="Title 3" xfId="366"/>
    <cellStyle name="Title 4" xfId="367"/>
    <cellStyle name="Total" xfId="368" builtinId="25" customBuiltin="1"/>
    <cellStyle name="Total 2" xfId="369"/>
    <cellStyle name="Total 3" xfId="370"/>
    <cellStyle name="Total 4" xfId="371"/>
    <cellStyle name="Tusental (0)_pldt" xfId="372"/>
    <cellStyle name="Tusental_pldt" xfId="373"/>
    <cellStyle name="Value" xfId="374"/>
    <cellStyle name="Valuta (0)_pldt" xfId="375"/>
    <cellStyle name="Valuta_pldt" xfId="376"/>
    <cellStyle name="Warning Text" xfId="377" builtinId="11" customBuiltin="1"/>
    <cellStyle name="Warning Text 2" xfId="378"/>
    <cellStyle name="Warning Text 3" xfId="379"/>
    <cellStyle name="Warning Text 4" xfId="380"/>
    <cellStyle name="桁区切り [0.00]_RESULTS" xfId="381"/>
    <cellStyle name="桁区切り_RESULTS" xfId="382"/>
    <cellStyle name="標準_RESULTS" xfId="383"/>
    <cellStyle name="通貨 [0.00]_RESULTS" xfId="384"/>
    <cellStyle name="通貨_RESULTS" xfId="385"/>
  </cellStyles>
  <dxfs count="1">
    <dxf>
      <font>
        <condense val="0"/>
        <extend val="0"/>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C1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63" Type="http://schemas.openxmlformats.org/officeDocument/2006/relationships/externalLink" Target="externalLinks/externalLink44.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externalLink" Target="externalLinks/externalLink34.xml"/><Relationship Id="rId58" Type="http://schemas.openxmlformats.org/officeDocument/2006/relationships/externalLink" Target="externalLinks/externalLink39.xml"/><Relationship Id="rId66" Type="http://schemas.openxmlformats.org/officeDocument/2006/relationships/externalLink" Target="externalLinks/externalLink4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externalLink" Target="externalLinks/externalLink38.xml"/><Relationship Id="rId61" Type="http://schemas.openxmlformats.org/officeDocument/2006/relationships/externalLink" Target="externalLinks/externalLink4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externalLink" Target="externalLinks/externalLink41.xml"/><Relationship Id="rId65" Type="http://schemas.openxmlformats.org/officeDocument/2006/relationships/externalLink" Target="externalLinks/externalLink4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externalLink" Target="externalLinks/externalLink37.xml"/><Relationship Id="rId64" Type="http://schemas.openxmlformats.org/officeDocument/2006/relationships/externalLink" Target="externalLinks/externalLink45.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59" Type="http://schemas.openxmlformats.org/officeDocument/2006/relationships/externalLink" Target="externalLinks/externalLink40.xml"/><Relationship Id="rId67" Type="http://schemas.openxmlformats.org/officeDocument/2006/relationships/theme" Target="theme/theme1.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externalLink" Target="externalLinks/externalLink35.xml"/><Relationship Id="rId62" Type="http://schemas.openxmlformats.org/officeDocument/2006/relationships/externalLink" Target="externalLinks/externalLink43.xml"/><Relationship Id="rId7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133350</xdr:rowOff>
    </xdr:from>
    <xdr:to>
      <xdr:col>9</xdr:col>
      <xdr:colOff>381000</xdr:colOff>
      <xdr:row>35</xdr:row>
      <xdr:rowOff>9525</xdr:rowOff>
    </xdr:to>
    <xdr:sp macro="" textlink="">
      <xdr:nvSpPr>
        <xdr:cNvPr id="2" name="AutoShape 1"/>
        <xdr:cNvSpPr>
          <a:spLocks noChangeArrowheads="1"/>
        </xdr:cNvSpPr>
      </xdr:nvSpPr>
      <xdr:spPr bwMode="auto">
        <a:xfrm>
          <a:off x="428625" y="2076450"/>
          <a:ext cx="5438775" cy="3829050"/>
        </a:xfrm>
        <a:prstGeom prst="roundRect">
          <a:avLst>
            <a:gd name="adj" fmla="val 16667"/>
          </a:avLst>
        </a:prstGeom>
        <a:solidFill>
          <a:srgbClr val="E2E2E2"/>
        </a:solidFill>
        <a:ln w="9525">
          <a:solidFill>
            <a:srgbClr val="000000"/>
          </a:solidFill>
          <a:round/>
          <a:headEnd/>
          <a:tailEnd/>
        </a:ln>
      </xdr:spPr>
      <xdr:txBody>
        <a:bodyPr vertOverflow="clip" wrap="square" lIns="64008" tIns="54864" rIns="64008" bIns="0" anchor="t" upright="1"/>
        <a:lstStyle/>
        <a:p>
          <a:pPr algn="ctr" rtl="0">
            <a:defRPr sz="1000"/>
          </a:pPr>
          <a:r>
            <a:rPr lang="en-US" sz="3200" b="0" i="0" strike="noStrike">
              <a:solidFill>
                <a:srgbClr val="000000"/>
              </a:solidFill>
              <a:latin typeface="ChevaraOutline"/>
            </a:rPr>
            <a:t>NIT Islamic Pension Fund</a:t>
          </a:r>
        </a:p>
        <a:p>
          <a:pPr algn="ctr" rtl="0">
            <a:defRPr sz="1000"/>
          </a:pPr>
          <a:r>
            <a:rPr lang="en-US" sz="3200" b="0" i="0" strike="noStrike">
              <a:solidFill>
                <a:srgbClr val="000000"/>
              </a:solidFill>
              <a:latin typeface="ChevaraOutline"/>
            </a:rPr>
            <a:t>Condensed Interim Financial Statements (Unaudited)</a:t>
          </a:r>
        </a:p>
        <a:p>
          <a:pPr algn="ctr" rtl="0">
            <a:defRPr sz="1000"/>
          </a:pPr>
          <a:r>
            <a:rPr lang="en-US" sz="3200" b="0" i="0" strike="noStrike">
              <a:solidFill>
                <a:srgbClr val="000000"/>
              </a:solidFill>
              <a:latin typeface="ChevaraOutline"/>
            </a:rPr>
            <a:t>for the quarter ended</a:t>
          </a:r>
        </a:p>
        <a:p>
          <a:pPr algn="ctr" rtl="0">
            <a:defRPr sz="1000"/>
          </a:pPr>
          <a:r>
            <a:rPr lang="en-US" sz="3200" b="0" i="0" strike="noStrike">
              <a:solidFill>
                <a:srgbClr val="000000"/>
              </a:solidFill>
              <a:latin typeface="ChevaraOutline"/>
            </a:rPr>
            <a:t>30</a:t>
          </a:r>
          <a:r>
            <a:rPr lang="en-US" sz="3200" b="0" i="0" strike="noStrike" baseline="0">
              <a:solidFill>
                <a:srgbClr val="000000"/>
              </a:solidFill>
              <a:latin typeface="ChevaraOutline"/>
            </a:rPr>
            <a:t> September</a:t>
          </a:r>
          <a:r>
            <a:rPr lang="en-US" sz="3200" b="0" i="0" strike="noStrike">
              <a:solidFill>
                <a:srgbClr val="000000"/>
              </a:solidFill>
              <a:latin typeface="ChevaraOutline"/>
            </a:rPr>
            <a:t> 2015</a:t>
          </a: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a:p>
          <a:pPr algn="ctr" rtl="0">
            <a:defRPr sz="1000"/>
          </a:pPr>
          <a:endParaRPr lang="en-US" sz="300" b="0" i="0" strike="noStrike">
            <a:solidFill>
              <a:srgbClr val="000000"/>
            </a:solidFill>
            <a:latin typeface="ChevaraOutline"/>
          </a:endParaRPr>
        </a:p>
      </xdr:txBody>
    </xdr:sp>
    <xdr:clientData/>
  </xdr:twoCellAnchor>
  <xdr:twoCellAnchor>
    <xdr:from>
      <xdr:col>3</xdr:col>
      <xdr:colOff>257175</xdr:colOff>
      <xdr:row>2</xdr:row>
      <xdr:rowOff>28575</xdr:rowOff>
    </xdr:from>
    <xdr:to>
      <xdr:col>5</xdr:col>
      <xdr:colOff>447675</xdr:colOff>
      <xdr:row>7</xdr:row>
      <xdr:rowOff>114300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425"/>
          <a:ext cx="1409700" cy="895350"/>
        </a:xfrm>
        <a:prstGeom prst="rect">
          <a:avLst/>
        </a:prstGeom>
        <a:solidFill>
          <a:srgbClr val="FFFFFF"/>
        </a:solidFill>
        <a:ln w="1">
          <a:solidFill>
            <a:srgbClr val="FFFFFF"/>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0</xdr:rowOff>
    </xdr:from>
    <xdr:to>
      <xdr:col>3</xdr:col>
      <xdr:colOff>0</xdr:colOff>
      <xdr:row>6</xdr:row>
      <xdr:rowOff>0</xdr:rowOff>
    </xdr:to>
    <xdr:sp macro="" textlink="">
      <xdr:nvSpPr>
        <xdr:cNvPr id="46303" name="Text Box 1"/>
        <xdr:cNvSpPr txBox="1">
          <a:spLocks noChangeArrowheads="1"/>
        </xdr:cNvSpPr>
      </xdr:nvSpPr>
      <xdr:spPr bwMode="auto">
        <a:xfrm>
          <a:off x="409575" y="1066800"/>
          <a:ext cx="3429000" cy="0"/>
        </a:xfrm>
        <a:prstGeom prst="rect">
          <a:avLst/>
        </a:prstGeom>
        <a:noFill/>
        <a:ln w="9525">
          <a:noFill/>
          <a:miter lim="800000"/>
          <a:headEnd/>
          <a:tailEnd/>
        </a:ln>
      </xdr:spPr>
    </xdr:sp>
    <xdr:clientData/>
  </xdr:twoCellAnchor>
  <xdr:twoCellAnchor>
    <xdr:from>
      <xdr:col>1</xdr:col>
      <xdr:colOff>19050</xdr:colOff>
      <xdr:row>6</xdr:row>
      <xdr:rowOff>0</xdr:rowOff>
    </xdr:from>
    <xdr:to>
      <xdr:col>11</xdr:col>
      <xdr:colOff>819150</xdr:colOff>
      <xdr:row>6</xdr:row>
      <xdr:rowOff>0</xdr:rowOff>
    </xdr:to>
    <xdr:sp macro="" textlink="">
      <xdr:nvSpPr>
        <xdr:cNvPr id="46304" name="Text Box 2"/>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twoCellAnchor>
    <xdr:from>
      <xdr:col>1</xdr:col>
      <xdr:colOff>19050</xdr:colOff>
      <xdr:row>6</xdr:row>
      <xdr:rowOff>0</xdr:rowOff>
    </xdr:from>
    <xdr:to>
      <xdr:col>11</xdr:col>
      <xdr:colOff>819150</xdr:colOff>
      <xdr:row>6</xdr:row>
      <xdr:rowOff>0</xdr:rowOff>
    </xdr:to>
    <xdr:sp macro="" textlink="">
      <xdr:nvSpPr>
        <xdr:cNvPr id="46305" name="Text Box 3"/>
        <xdr:cNvSpPr txBox="1">
          <a:spLocks noChangeArrowheads="1"/>
        </xdr:cNvSpPr>
      </xdr:nvSpPr>
      <xdr:spPr bwMode="auto">
        <a:xfrm>
          <a:off x="409575" y="1066800"/>
          <a:ext cx="59912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79</xdr:row>
      <xdr:rowOff>142875</xdr:rowOff>
    </xdr:from>
    <xdr:to>
      <xdr:col>12</xdr:col>
      <xdr:colOff>0</xdr:colOff>
      <xdr:row>79</xdr:row>
      <xdr:rowOff>142875</xdr:rowOff>
    </xdr:to>
    <xdr:sp macro="" textlink="">
      <xdr:nvSpPr>
        <xdr:cNvPr id="2" name="Text 28"/>
        <xdr:cNvSpPr txBox="1">
          <a:spLocks noChangeArrowheads="1"/>
        </xdr:cNvSpPr>
      </xdr:nvSpPr>
      <xdr:spPr bwMode="auto">
        <a:xfrm>
          <a:off x="352425" y="2924175"/>
          <a:ext cx="5962650" cy="0"/>
        </a:xfrm>
        <a:prstGeom prst="rect">
          <a:avLst/>
        </a:prstGeom>
        <a:noFill/>
        <a:ln w="1">
          <a:noFill/>
          <a:miter lim="800000"/>
          <a:headEnd/>
          <a:tailEnd/>
        </a:ln>
      </xdr:spPr>
      <xdr:txBody>
        <a:bodyPr vertOverflow="clip" wrap="square" lIns="36576" tIns="27432" rIns="36576" bIns="0" anchor="t" upright="1"/>
        <a:lstStyle/>
        <a:p>
          <a:pPr algn="just" rtl="0">
            <a:defRPr sz="1000"/>
          </a:pPr>
          <a:r>
            <a:rPr lang="en-US" sz="1200" b="0" i="0" strike="noStrike">
              <a:solidFill>
                <a:srgbClr val="000000"/>
              </a:solidFill>
              <a:latin typeface="Times New Roman"/>
              <a:cs typeface="Times New Roman"/>
            </a:rPr>
            <a:t>The significant prior year's figures which have been reclassified consequent upon certain changes in current year's presentation are as follows: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veri\quarter\WINDOWS\Desktop\AamirZaveri\Accounts\QuartRepo\1st%20Quarter\1st%20QuarterAccou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waja\account-bal-\FINAL%20ACCOUNTS2001\JUNE2002Accou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myasco\statement%20of%20changes%20in%20equit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_SERVER\Audit\My%20Documents\Final%20Accounts%202001As%20per%20Audito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Schedule%202002-03\SCHD20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ileserver\audit\Auditors\final%20accounts%202001Complete%20Adjustm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hawaja\account-bal-\FINAL%20ACCOUNTS2001\Final%20Accounts%202001As%20per%20Auditor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amirzaveri\mcr-working\SEPublishAccountsOsam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erguson%20Auditors/JUNE%2030/Final%20RAJ-reviewed%20Feb%2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erguson%20Auditors/EMOF/Ramiz%20Jan%2005/EMOF%20Accounts%20(Ramiz%20working)%20Jan%2016%20(11%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otes4-8.2"/>
      <sheetName val="Note1-3"/>
      <sheetName val="Stat-Equity"/>
      <sheetName val="DirRep"/>
      <sheetName val="CashFlow"/>
      <sheetName val="Balancesheet"/>
      <sheetName val="last qrt2001"/>
      <sheetName val="Profit&amp;Loss"/>
      <sheetName val="last qrt2000"/>
      <sheetName val="Sheet1"/>
      <sheetName val="62"/>
      <sheetName val="Notes4-8_2"/>
      <sheetName val="last_qrt2001"/>
      <sheetName val="last_qrt2000"/>
      <sheetName val="Sheet1_"/>
      <sheetName val="Note6-8_2"/>
      <sheetName val="Notes35-36"/>
      <sheetName val="A"/>
      <sheetName val="Consolidated"/>
      <sheetName val="Assets"/>
      <sheetName val="BS-JPN"/>
      <sheetName val="BK"/>
      <sheetName val="Cash_Flow__HOH"/>
      <sheetName val="CIB2"/>
      <sheetName val="NOSTRO12"/>
      <sheetName val="INC-EXP"/>
      <sheetName val="Parameters"/>
      <sheetName val="Summary"/>
      <sheetName val="RC-0997"/>
      <sheetName val="Sheet4"/>
      <sheetName val="new_sum"/>
      <sheetName val="Investments"/>
      <sheetName val="fx_130"/>
      <sheetName val="Lead"/>
      <sheetName val="blot"/>
      <sheetName val="FIB-TFC"/>
      <sheetName val="Currency"/>
      <sheetName val="CP_STATytd"/>
      <sheetName val="Rentals-SAM_KHI"/>
      <sheetName val="Letter"/>
      <sheetName val="Premier"/>
      <sheetName val="Dep_Allocation"/>
      <sheetName val="A-C_CODE_&amp;_NAME"/>
      <sheetName val="WIP-YRN"/>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9.7-9.8"/>
      <sheetName val="Liabiliteis"/>
      <sheetName val="AnnexureA"/>
      <sheetName val="Assets"/>
      <sheetName val="SBP-Staggering"/>
      <sheetName val="Balancesheet"/>
      <sheetName val="P&amp;L"/>
      <sheetName val="Notes7-8"/>
      <sheetName val="Notes 9-10"/>
      <sheetName val="Notes7-8 (2)"/>
      <sheetName val="Notes 9-10 (2)"/>
      <sheetName val="Investment"/>
      <sheetName val="Sheet2"/>
      <sheetName val="Notes 1-6"/>
      <sheetName val="BS"/>
      <sheetName val="Other Assets Notes"/>
      <sheetName val="Notes10.1"/>
      <sheetName val="Sheet5"/>
      <sheetName val="notes 5-6000"/>
      <sheetName val="Stat-Equity"/>
      <sheetName val="A"/>
      <sheetName val="Note6-8.2"/>
      <sheetName val="Note_9_7-9_8"/>
      <sheetName val="Notes_9-10"/>
      <sheetName val="Notes7-8_(2)"/>
      <sheetName val="Notes_9-10_(2)"/>
      <sheetName val="Notes_1-6"/>
      <sheetName val="Other_Assets_Notes"/>
      <sheetName val="Notes10_1"/>
      <sheetName val="notes_5-6000"/>
      <sheetName val="Note6-8_2"/>
    </sheetNames>
    <sheetDataSet>
      <sheetData sheetId="0">
        <row r="604">
          <cell r="Q604">
            <v>261393</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row r="604">
          <cell r="Q604">
            <v>261393</v>
          </cell>
        </row>
        <row r="605">
          <cell r="Q605">
            <v>655246</v>
          </cell>
        </row>
        <row r="606">
          <cell r="Q606">
            <v>432000</v>
          </cell>
        </row>
        <row r="607">
          <cell r="Q607">
            <v>2412885</v>
          </cell>
        </row>
        <row r="608">
          <cell r="Q608">
            <v>4603679</v>
          </cell>
        </row>
        <row r="609">
          <cell r="Q609">
            <v>190777</v>
          </cell>
        </row>
        <row r="610">
          <cell r="Q610">
            <v>1447095</v>
          </cell>
        </row>
        <row r="611">
          <cell r="Q611">
            <v>10003075</v>
          </cell>
        </row>
        <row r="615">
          <cell r="Q615">
            <v>5451937</v>
          </cell>
        </row>
        <row r="616">
          <cell r="Q616">
            <v>4011652</v>
          </cell>
        </row>
        <row r="617">
          <cell r="Q617">
            <v>51183</v>
          </cell>
        </row>
        <row r="618">
          <cell r="Q618">
            <v>232240</v>
          </cell>
        </row>
        <row r="619">
          <cell r="Q619">
            <v>14118</v>
          </cell>
        </row>
        <row r="621">
          <cell r="Q621">
            <v>9761130</v>
          </cell>
        </row>
        <row r="623">
          <cell r="Q623">
            <v>241945</v>
          </cell>
        </row>
        <row r="627">
          <cell r="Q627">
            <v>1166667</v>
          </cell>
        </row>
        <row r="628">
          <cell r="Q628">
            <v>74262</v>
          </cell>
        </row>
        <row r="629">
          <cell r="Q629">
            <v>-998702</v>
          </cell>
        </row>
        <row r="630">
          <cell r="Q630">
            <v>-282</v>
          </cell>
        </row>
        <row r="631">
          <cell r="Q631">
            <v>241945</v>
          </cell>
        </row>
        <row r="634">
          <cell r="Q634">
            <v>1665541</v>
          </cell>
        </row>
        <row r="636">
          <cell r="Q636">
            <v>813488</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t="str">
            <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Balance Sheet"/>
      <sheetName val="p&amp;l"/>
      <sheetName val="CashFlow"/>
      <sheetName val="Statement of Ch"/>
      <sheetName val="Notes1-5(old)"/>
      <sheetName val="Note6-8.2"/>
      <sheetName val="Note9-9.6"/>
      <sheetName val="Note 9.7-9.9"/>
      <sheetName val="Notes10-10.6"/>
      <sheetName val="11-11.4"/>
      <sheetName val="Note 12 "/>
      <sheetName val="Note12.3-17.1"/>
      <sheetName val="Note19-21.1"/>
      <sheetName val="Note21.2-22"/>
      <sheetName val="Notes23-25.1"/>
      <sheetName val="Notes25.2-31"/>
      <sheetName val="Notes32-33"/>
      <sheetName val="Notes34-35"/>
      <sheetName val="Notes36-36.2"/>
      <sheetName val="Notes37-41"/>
      <sheetName val="Note 45"/>
      <sheetName val="Notes(New)39-40"/>
      <sheetName val="Annexure (3)"/>
      <sheetName val="TaxWDVJul-Dec02"/>
      <sheetName val="AUDITADJUST"/>
      <sheetName val="EFFECT"/>
      <sheetName val="Assets 2002"/>
      <sheetName val="Note 9.7-9.8 (2)"/>
      <sheetName val="Liabiliteis 2002"/>
      <sheetName val="P&amp;L 2002"/>
      <sheetName val="Sheet1 (3)"/>
      <sheetName val="NEWAD"/>
      <sheetName val="SBP-Staggering"/>
      <sheetName val="Computa.Tax"/>
      <sheetName val="Notes1-5"/>
      <sheetName val="Notes42.2-44"/>
      <sheetName val="Com.TaxJul-Dec01"/>
      <sheetName val="Computa.Tax (2)"/>
      <sheetName val="Sheet8"/>
      <sheetName val="D Tax2002"/>
      <sheetName val="WKGJul-Dec01"/>
      <sheetName val="Note 12(3)"/>
      <sheetName val="Guarantee"/>
      <sheetName val="reginal"/>
      <sheetName val="pinex"/>
      <sheetName val="Currency-expo"/>
      <sheetName val="Annexure"/>
      <sheetName val="affair"/>
      <sheetName val="Change Note"/>
      <sheetName val="Change Note 2"/>
      <sheetName val="inc-exp"/>
      <sheetName val="YieldAd"/>
      <sheetName val="YieldAd-net"/>
      <sheetName val="MaturLiabili"/>
      <sheetName val="MaturiAssets"/>
      <sheetName val="Sheet1 (4)"/>
      <sheetName val="YielDeposit"/>
      <sheetName val="Sheet1"/>
      <sheetName val="summary (3)"/>
      <sheetName val="Sheet2"/>
      <sheetName val="Sheet3"/>
      <sheetName val="Sheet6"/>
      <sheetName val="pinex (2)"/>
      <sheetName val="Annexure (2)"/>
      <sheetName val="Guarteee"/>
      <sheetName val="Sheet7"/>
      <sheetName val="Assets (2)"/>
      <sheetName val="summary (2)"/>
      <sheetName val="Deferred (2)"/>
      <sheetName val="Taxrelief"/>
      <sheetName val="OLD"/>
      <sheetName val="Assets"/>
      <sheetName val="Sheet4"/>
      <sheetName val="Sheet5"/>
      <sheetName val="Liabiliteis"/>
      <sheetName val="Sheet2 (2)"/>
      <sheetName val="Sheet3 (2)"/>
      <sheetName val="Chart1"/>
      <sheetName val="Sheet1 (2)"/>
      <sheetName val="Lease"/>
      <sheetName val="Total Adjustments"/>
      <sheetName val="PremiumMaturity"/>
      <sheetName val="Note 12 (2)"/>
      <sheetName val="Defeered Work"/>
      <sheetName val="Notes1_5_old_"/>
      <sheetName val="Balance_Sheet"/>
      <sheetName val="Statement_of_Ch"/>
      <sheetName val="Note6-8_2"/>
      <sheetName val="Note9-9_6"/>
      <sheetName val="Note_9_7-9_9"/>
      <sheetName val="Notes10-10_6"/>
      <sheetName val="11-11_4"/>
      <sheetName val="Note_12_"/>
      <sheetName val="Note12_3-17_1"/>
      <sheetName val="Note19-21_1"/>
      <sheetName val="Note21_2-22"/>
      <sheetName val="Notes23-25_1"/>
      <sheetName val="Notes25_2-31"/>
      <sheetName val="Notes36-36_2"/>
      <sheetName val="Note_45"/>
      <sheetName val="Annexure_(3)"/>
      <sheetName val="Assets_2002"/>
      <sheetName val="Note_9_7-9_8_(2)"/>
      <sheetName val="Liabiliteis_2002"/>
      <sheetName val="P&amp;L_2002"/>
      <sheetName val="Sheet1_(3)"/>
      <sheetName val="Computa_Tax"/>
      <sheetName val="Notes42_2-44"/>
      <sheetName val="Com_TaxJul-Dec01"/>
      <sheetName val="Computa_Tax_(2)"/>
      <sheetName val="D_Tax2002"/>
      <sheetName val="Note_12(3)"/>
      <sheetName val="Change_Note"/>
      <sheetName val="Change_Note_2"/>
      <sheetName val="Sheet1_(4)"/>
      <sheetName val="summary_(3)"/>
      <sheetName val="pinex_(2)"/>
      <sheetName val="Annexure_(2)"/>
      <sheetName val="Assets_(2)"/>
      <sheetName val="summary_(2)"/>
      <sheetName val="Deferred_(2)"/>
      <sheetName val="Sheet2_(2)"/>
      <sheetName val="Sheet3_(2)"/>
      <sheetName val="Sheet1_(2)"/>
      <sheetName val="Total_Adjustments"/>
      <sheetName val="Note_12_(2)"/>
      <sheetName val="Defeered_Work"/>
      <sheetName val="Balance_Sheet1"/>
      <sheetName val="Statement_of_Ch1"/>
      <sheetName val="Note6-8_21"/>
      <sheetName val="Note9-9_61"/>
      <sheetName val="Note_9_7-9_91"/>
      <sheetName val="Notes10-10_61"/>
      <sheetName val="11-11_41"/>
      <sheetName val="Note_12_1"/>
      <sheetName val="Note12_3-17_11"/>
      <sheetName val="Note19-21_11"/>
      <sheetName val="Note21_2-221"/>
      <sheetName val="Notes23-25_11"/>
      <sheetName val="Notes25_2-311"/>
      <sheetName val="Notes36-36_21"/>
      <sheetName val="Note_451"/>
      <sheetName val="Annexure_(3)1"/>
      <sheetName val="Assets_20021"/>
      <sheetName val="Note_9_7-9_8_(2)1"/>
      <sheetName val="Liabiliteis_20021"/>
      <sheetName val="P&amp;L_20021"/>
      <sheetName val="Sheet1_(3)1"/>
      <sheetName val="Computa_Tax1"/>
      <sheetName val="Notes42_2-441"/>
      <sheetName val="Com_TaxJul-Dec011"/>
      <sheetName val="Computa_Tax_(2)1"/>
      <sheetName val="D_Tax20021"/>
      <sheetName val="Note_12(3)1"/>
      <sheetName val="Change_Note1"/>
      <sheetName val="Change_Note_21"/>
      <sheetName val="Sheet1_(4)1"/>
      <sheetName val="summary_(3)1"/>
      <sheetName val="pinex_(2)1"/>
      <sheetName val="Annexure_(2)1"/>
      <sheetName val="Assets_(2)1"/>
      <sheetName val="summary_(2)1"/>
      <sheetName val="Deferred_(2)1"/>
      <sheetName val="Sheet2_(2)1"/>
      <sheetName val="Sheet3_(2)1"/>
      <sheetName val="Sheet1_(2)1"/>
      <sheetName val="Total_Adjustments1"/>
      <sheetName val="Note_12_(2)1"/>
      <sheetName val="Defeered_Work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t²"/>
      <sheetName val="nt__2"/>
      <sheetName val="nt__3"/>
      <sheetName val="nt__4"/>
      <sheetName val="Total Adjustments"/>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Notes25-26.1"/>
      <sheetName val="Notes26.2-32"/>
      <sheetName val="Notes33-34"/>
      <sheetName val="Notes39-40"/>
      <sheetName val="Notes41-42.1"/>
      <sheetName val="Notes41-42.1 (2)"/>
      <sheetName val="Notes42.2-44"/>
      <sheetName val="Note 45"/>
      <sheetName val="Annexure"/>
      <sheetName val="affair"/>
      <sheetName val="inc-exp"/>
      <sheetName val="pinex"/>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PremiumMaturity"/>
      <sheetName val="NEWAD"/>
      <sheetName val="pinex (2)"/>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Total_Adjustments"/>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Note1_11"/>
      <sheetName val="Total_Adjustments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CH"/>
      <sheetName val="Provision2003"/>
      <sheetName val="GOVT BONDS"/>
      <sheetName val="FINANCE CODE"/>
      <sheetName val="SUMMARY OF LOANS CODE 65"/>
      <sheetName val="Sheet1"/>
      <sheetName val="LTTFCs"/>
      <sheetName val="65"/>
      <sheetName val="05-051"/>
      <sheetName val="SBPCRLINE (2)"/>
      <sheetName val="SBPCRLINE"/>
      <sheetName val="05-061 TO 05-229"/>
      <sheetName val="10-525 TO 10-640"/>
      <sheetName val="55-061"/>
      <sheetName val="CREDIT LINES"/>
      <sheetName val="35-021"/>
      <sheetName val="35-022"/>
      <sheetName val="35-023"/>
      <sheetName val="35-024"/>
      <sheetName val="35-025"/>
      <sheetName val="35-026"/>
      <sheetName val="35-027"/>
      <sheetName val="OTHER CHARGES (2)"/>
      <sheetName val="OTHER CHARGES"/>
      <sheetName val="INTEREST MARKUP RECEIVABLE"/>
      <sheetName val="55-072 (LEGAL CHARGES-ICP)"/>
      <sheetName val="35-041"/>
      <sheetName val="35-042"/>
      <sheetName val="35-043"/>
      <sheetName val="35-044"/>
      <sheetName val="35-045"/>
      <sheetName val="35-046"/>
      <sheetName val="35-047"/>
      <sheetName val="35-048"/>
      <sheetName val="35-049"/>
      <sheetName val="OTHER DEP (35-030)"/>
      <sheetName val="waiver"/>
      <sheetName val="writeoff"/>
      <sheetName val="PROVpart"/>
      <sheetName val="35-284 &amp; 285 (Payable) (6)"/>
      <sheetName val="LINE SBP"/>
      <sheetName val="35-284 &amp; 285 (Payable) (3)"/>
      <sheetName val="35-284 &amp; 285 (Payable) (5)"/>
      <sheetName val="35-284 &amp; 285 (Payable) (4)"/>
      <sheetName val="35-284 &amp; 285 (Payable) (2)"/>
      <sheetName val="GOVT BONDS (2)"/>
      <sheetName val="Provision mdae 2003  (2)"/>
      <sheetName val="INT SUS WR BK"/>
      <sheetName val="write back"/>
      <sheetName val="suspended interest (F)"/>
      <sheetName val="suspended interest"/>
      <sheetName val="Provision mdae 2003 "/>
      <sheetName val="INTERST SUSPENSE"/>
      <sheetName val="Sheet2"/>
      <sheetName val="JUNE 2001"/>
      <sheetName val="MARCH 2001"/>
      <sheetName val="35-284 &amp; 285 (Payable) (7)"/>
      <sheetName val="ProvSep2003 "/>
      <sheetName val="ProvSep3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New"/>
      <sheetName val="Sheet1 (4)"/>
      <sheetName val="Sheet1 (3)"/>
      <sheetName val="WeighAvShares"/>
      <sheetName val="Deferred (2)"/>
      <sheetName val="Defeered Work"/>
      <sheetName val="Taxrelief"/>
      <sheetName val="NEWAD"/>
      <sheetName val="Sheet4"/>
      <sheetName val="Sheet5"/>
      <sheetName val="Total Adjustments"/>
      <sheetName val="OLD"/>
      <sheetName val="Assets"/>
      <sheetName val="Liabiliteis"/>
      <sheetName val="Balance Sheet"/>
      <sheetName val="p&amp;l"/>
      <sheetName val="Sheet2 (2)"/>
      <sheetName val="CashFlow"/>
      <sheetName val="Sheet3 (2)"/>
      <sheetName val="Statement of Ch"/>
      <sheetName val="Notes1-5"/>
      <sheetName val="Note6-8.2"/>
      <sheetName val="Note9-9.6"/>
      <sheetName val="Note 9.7-9.8"/>
      <sheetName val="Notes10-10.4.2"/>
      <sheetName val="10.5-11.3"/>
      <sheetName val="Chart1"/>
      <sheetName val="Note 12"/>
      <sheetName val="Note12.3-15.1"/>
      <sheetName val="Note16-21.1"/>
      <sheetName val="Note22-22.7"/>
      <sheetName val="Sheet6"/>
      <sheetName val="Notes25-26.1"/>
      <sheetName val="RGHOEXPENSE"/>
      <sheetName val="Notes26.2-32"/>
      <sheetName val="Notes33-34"/>
      <sheetName val="MaturiAssets"/>
      <sheetName val="Sheet1 (2)"/>
      <sheetName val="Lease"/>
      <sheetName val="PremiumMaturity"/>
      <sheetName val="MaturLiabili"/>
      <sheetName val="Notes39-40"/>
      <sheetName val="Notes41-42.1"/>
      <sheetName val="Currency-expo"/>
      <sheetName val="Notes42.2-44"/>
      <sheetName val="Note 45"/>
      <sheetName val="Annexure"/>
      <sheetName val="affair"/>
      <sheetName val="inc-exp"/>
      <sheetName val="pinex"/>
      <sheetName val="YieldAd"/>
      <sheetName val="YieldAd-net"/>
      <sheetName val="YielDeposit"/>
      <sheetName val="Sheet1"/>
      <sheetName val="Sheet2"/>
      <sheetName val="Sheet3"/>
      <sheetName val="Notes(New)39-40"/>
      <sheetName val="SBP-Staggering"/>
      <sheetName val="Notes1_5"/>
      <sheetName val="Sheet1_(4)"/>
      <sheetName val="Sheet1_(3)"/>
      <sheetName val="Deferred_(2)"/>
      <sheetName val="Defeered_Work"/>
      <sheetName val="Total_Adjustments"/>
      <sheetName val="Balance_Sheet"/>
      <sheetName val="Sheet2_(2)"/>
      <sheetName val="Sheet3_(2)"/>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Sheet1_(2)"/>
      <sheetName val="Notes41-42_1"/>
      <sheetName val="Notes42_2-44"/>
      <sheetName val="Note_45"/>
      <sheetName val="Links"/>
      <sheetName val="Sheet1_(4)1"/>
      <sheetName val="Sheet1_(3)1"/>
      <sheetName val="Deferred_(2)1"/>
      <sheetName val="Defeered_Work1"/>
      <sheetName val="Total_Adjustments1"/>
      <sheetName val="Balance_Sheet1"/>
      <sheetName val="Sheet2_(2)1"/>
      <sheetName val="Sheet3_(2)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Sheet1_(2)1"/>
      <sheetName val="Notes41-42_11"/>
      <sheetName val="Notes42_2-441"/>
      <sheetName val="Note_4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sheetData sheetId="23"/>
      <sheetData sheetId="24" refreshError="1"/>
      <sheetData sheetId="25"/>
      <sheetData sheetId="26"/>
      <sheetData sheetId="27" refreshError="1"/>
      <sheetData sheetId="28" refreshError="1"/>
      <sheetData sheetId="29"/>
      <sheetData sheetId="30"/>
      <sheetData sheetId="31"/>
      <sheetData sheetId="32" refreshError="1"/>
      <sheetData sheetId="33"/>
      <sheetData sheetId="34" refreshError="1"/>
      <sheetData sheetId="35"/>
      <sheetData sheetId="36"/>
      <sheetData sheetId="37" refreshError="1"/>
      <sheetData sheetId="38" refreshError="1"/>
      <sheetData sheetId="39" refreshError="1"/>
      <sheetData sheetId="40" refreshError="1"/>
      <sheetData sheetId="41" refreshError="1"/>
      <sheetData sheetId="42"/>
      <sheetData sheetId="43"/>
      <sheetData sheetId="44" refreshError="1"/>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ow r="132">
          <cell r="C132" t="str">
            <v>TOTAL RECOVERY OF STUCK-UP ADVANCES REPORT</v>
          </cell>
        </row>
      </sheetData>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
      <sheetName val="pinex (2)"/>
      <sheetName val="Assets (2)"/>
      <sheetName val="Balance Sheet"/>
      <sheetName val="p&amp;l"/>
      <sheetName val="CashFlow"/>
      <sheetName val="Statement of Ch"/>
      <sheetName val="Notes1-5"/>
      <sheetName val="Note6-8.2"/>
      <sheetName val="Note9-9.6"/>
      <sheetName val="Note 9.7-9.8"/>
      <sheetName val="Notes10-10.4.2"/>
      <sheetName val="10.5-11.3"/>
      <sheetName val="Note 12"/>
      <sheetName val="Note12.3-15.1"/>
      <sheetName val="Note16-21.1"/>
      <sheetName val="Note22-22.7"/>
      <sheetName val="pinex"/>
      <sheetName val="Notes25-26.1"/>
      <sheetName val="Notes26.2-32"/>
      <sheetName val="Notes33-34"/>
      <sheetName val="Notes39-40"/>
      <sheetName val="Notes41-42.1"/>
      <sheetName val="Notes41-42.1 (2)"/>
      <sheetName val="Notes42.2-44"/>
      <sheetName val="Note 45"/>
      <sheetName val="Annexure"/>
      <sheetName val="affair"/>
      <sheetName val="inc-exp"/>
      <sheetName val="Currency-expo"/>
      <sheetName val="YieldAd"/>
      <sheetName val="YieldAd-net"/>
      <sheetName val="MaturLiabili"/>
      <sheetName val="MaturiAssets"/>
      <sheetName val="YielDeposit"/>
      <sheetName val="Sheet1"/>
      <sheetName val="Sheet2"/>
      <sheetName val="Sheet3"/>
      <sheetName val="Notes(New)39-40"/>
      <sheetName val="Sheet6"/>
      <sheetName val="Deferred (2)"/>
      <sheetName val="Taxrelief"/>
      <sheetName val="OLD"/>
      <sheetName val="Assets"/>
      <sheetName val="Sheet4"/>
      <sheetName val="Defeered Work"/>
      <sheetName val="Liabiliteis"/>
      <sheetName val="Sheet2 (2)"/>
      <sheetName val="Sheet3 (2)"/>
      <sheetName val="Chart1"/>
      <sheetName val="Sheet1 (2)"/>
      <sheetName val="Lease"/>
      <sheetName val="Total Adjustments"/>
      <sheetName val="PremiumMaturity"/>
      <sheetName val="NEWAD"/>
      <sheetName val="Notes1_5"/>
      <sheetName val="Assignmentform"/>
      <sheetName val="Liquidity"/>
      <sheetName val="PNSC"/>
      <sheetName val="CFR-5"/>
      <sheetName val="Links"/>
      <sheetName val="Rate Input"/>
      <sheetName val="Profit Worksheet"/>
      <sheetName val="SHF-1026-EXP"/>
      <sheetName val="SITE-1001-P&amp;L"/>
      <sheetName val="CLM-1012-P&amp;L"/>
      <sheetName val="SHF-1026-P&amp;L"/>
      <sheetName val="KRG-1002-P&amp;L"/>
      <sheetName val="MAIN-1003-P&amp;L"/>
      <sheetName val="KSE-1010-P&amp;L"/>
      <sheetName val="JODIA-1011-P&amp;L"/>
      <sheetName val="JODIA-1011-EXP"/>
      <sheetName val="CLM-1012-EXP"/>
      <sheetName val="SITE-1001-EXP"/>
      <sheetName val="KRG-1002-EXP"/>
      <sheetName val="MAIN-1003-EXP"/>
      <sheetName val="A"/>
      <sheetName val="CliftonMain-1003-P&amp;L"/>
      <sheetName val="CliftonMain-1003-EXP"/>
      <sheetName val="nt²"/>
      <sheetName val="nt__2"/>
      <sheetName val="nt__3"/>
      <sheetName val="nt__4"/>
      <sheetName val="SALARY"/>
      <sheetName val="Parameters"/>
      <sheetName val="broker sheet-2"/>
      <sheetName val="acct"/>
      <sheetName val="pinex_(2)"/>
      <sheetName val="Assets_(2)"/>
      <sheetName val="Balance_Sheet"/>
      <sheetName val="Statement_of_Ch"/>
      <sheetName val="Note6-8_2"/>
      <sheetName val="Note9-9_6"/>
      <sheetName val="Note_9_7-9_8"/>
      <sheetName val="Notes10-10_4_2"/>
      <sheetName val="10_5-11_3"/>
      <sheetName val="Note_12"/>
      <sheetName val="Note12_3-15_1"/>
      <sheetName val="Note16-21_1"/>
      <sheetName val="Note22-22_7"/>
      <sheetName val="Notes25-26_1"/>
      <sheetName val="Notes26_2-32"/>
      <sheetName val="Notes41-42_1"/>
      <sheetName val="Notes41-42_1_(2)"/>
      <sheetName val="Notes42_2-44"/>
      <sheetName val="Note_45"/>
      <sheetName val="Deferred_(2)"/>
      <sheetName val="Defeered_Work"/>
      <sheetName val="Sheet2_(2)"/>
      <sheetName val="Sheet3_(2)"/>
      <sheetName val="Sheet1_(2)"/>
      <sheetName val="Total_Adjustments"/>
      <sheetName val="Rate_Input"/>
      <sheetName val="Profit_Worksheet"/>
      <sheetName val="pinex_(2)1"/>
      <sheetName val="Assets_(2)1"/>
      <sheetName val="Balance_Sheet1"/>
      <sheetName val="Statement_of_Ch1"/>
      <sheetName val="Note6-8_21"/>
      <sheetName val="Note9-9_61"/>
      <sheetName val="Note_9_7-9_81"/>
      <sheetName val="Notes10-10_4_21"/>
      <sheetName val="10_5-11_31"/>
      <sheetName val="Note_121"/>
      <sheetName val="Note12_3-15_11"/>
      <sheetName val="Note16-21_11"/>
      <sheetName val="Note22-22_71"/>
      <sheetName val="Notes25-26_11"/>
      <sheetName val="Notes26_2-321"/>
      <sheetName val="Notes41-42_11"/>
      <sheetName val="Notes41-42_1_(2)1"/>
      <sheetName val="Notes42_2-441"/>
      <sheetName val="Note_451"/>
      <sheetName val="Deferred_(2)1"/>
      <sheetName val="Defeered_Work1"/>
      <sheetName val="Sheet2_(2)1"/>
      <sheetName val="Sheet3_(2)1"/>
      <sheetName val="Sheet1_(2)1"/>
      <sheetName val="Total_Adjustments1"/>
      <sheetName val="Rate_Input1"/>
      <sheetName val="Profit_Work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abilities-New"/>
      <sheetName val="Liabiliteis"/>
      <sheetName val="AssetsNew"/>
      <sheetName val="Assets"/>
      <sheetName val="Notes7-8 (2)"/>
      <sheetName val="Note 9.7-9.8 (2)"/>
      <sheetName val="Investment"/>
      <sheetName val="Sheet2"/>
      <sheetName val="SBP-Staggering"/>
      <sheetName val="summary"/>
      <sheetName val="Balancesheet"/>
      <sheetName val="P&amp;L"/>
      <sheetName val="CashFlow"/>
      <sheetName val="Stat-Equity"/>
      <sheetName val="Other Assets Notes"/>
      <sheetName val="Notes1-5"/>
      <sheetName val="Notes 1-6 (2)"/>
      <sheetName val="Investment (2)"/>
      <sheetName val="Notes1-2"/>
      <sheetName val="Notes 1-6"/>
      <sheetName val="Notes7-8"/>
      <sheetName val="Notes 9-10"/>
      <sheetName val="Notes10.1"/>
      <sheetName val="Sheet5"/>
      <sheetName val="notes 5-6000"/>
      <sheetName val="BS"/>
      <sheetName val="A"/>
      <sheetName val="Input_Operating"/>
      <sheetName val="Liquidity"/>
      <sheetName val="PDF1"/>
      <sheetName val="Notes1_5"/>
      <sheetName val="CFR-5"/>
      <sheetName val="Links"/>
      <sheetName val="Code"/>
      <sheetName val="A-C CODE &amp; NAME"/>
      <sheetName val="SHF-1026-EXP"/>
      <sheetName val="SITE-1001-P&amp;L"/>
      <sheetName val="CLM-1012-P&amp;L"/>
      <sheetName val="SHF-1026-P&amp;L"/>
      <sheetName val="KRG-1002-P&amp;L"/>
      <sheetName val="CliftonMain-1003-P&amp;L"/>
      <sheetName val="KSE-1010-P&amp;L"/>
      <sheetName val="JODIA-1011-P&amp;L"/>
      <sheetName val="JODIA-1011-EXP"/>
      <sheetName val="CLM-1012-EXP"/>
      <sheetName val="SITE-1001-EXP"/>
      <sheetName val="KRG-1002-EXP"/>
      <sheetName val="CliftonMain-1003-EXP"/>
      <sheetName val="Notes7-8_(2)"/>
      <sheetName val="Note_9_7-9_8_(2)"/>
      <sheetName val="Other_Assets_Notes"/>
      <sheetName val="Notes_1-6_(2)"/>
      <sheetName val="Investment_(2)"/>
      <sheetName val="Notes_1-6"/>
      <sheetName val="Notes_9-10"/>
      <sheetName val="Notes10_1"/>
      <sheetName val="notes_5-6000"/>
      <sheetName val="A-C_CODE_&amp;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7">
          <cell r="AX7">
            <v>1346063.09</v>
          </cell>
        </row>
        <row r="8">
          <cell r="AX8">
            <v>-1270.28</v>
          </cell>
        </row>
        <row r="9">
          <cell r="AX9">
            <v>18843861.66</v>
          </cell>
        </row>
        <row r="10">
          <cell r="AX10">
            <v>51230813.909999996</v>
          </cell>
        </row>
        <row r="11">
          <cell r="AX11">
            <v>2751832.22</v>
          </cell>
        </row>
        <row r="12">
          <cell r="AX12">
            <v>-186068.71</v>
          </cell>
        </row>
        <row r="13">
          <cell r="AX13">
            <v>2850010.03</v>
          </cell>
        </row>
        <row r="14">
          <cell r="AX14">
            <v>0</v>
          </cell>
        </row>
        <row r="15">
          <cell r="AX15">
            <v>-25061.99</v>
          </cell>
        </row>
        <row r="16">
          <cell r="AX16">
            <v>76810179.930000007</v>
          </cell>
        </row>
        <row r="17">
          <cell r="AX17">
            <v>1702084.59</v>
          </cell>
        </row>
        <row r="18">
          <cell r="AX18">
            <v>1162777.6599999999</v>
          </cell>
        </row>
        <row r="19">
          <cell r="AX19">
            <v>79675042.180000007</v>
          </cell>
        </row>
        <row r="20">
          <cell r="AX20">
            <v>-1145960.1499999999</v>
          </cell>
        </row>
        <row r="21">
          <cell r="AX21">
            <v>581217.23</v>
          </cell>
        </row>
        <row r="22">
          <cell r="AX22">
            <v>76175</v>
          </cell>
        </row>
        <row r="23">
          <cell r="AX23">
            <v>5839615</v>
          </cell>
        </row>
        <row r="24">
          <cell r="AX24">
            <v>100869011</v>
          </cell>
        </row>
        <row r="25">
          <cell r="AX25">
            <v>106220058.08</v>
          </cell>
        </row>
        <row r="26">
          <cell r="AX26">
            <v>0</v>
          </cell>
        </row>
        <row r="27">
          <cell r="AX27">
            <v>13188041</v>
          </cell>
        </row>
        <row r="28">
          <cell r="AX28">
            <v>391476</v>
          </cell>
        </row>
        <row r="29">
          <cell r="AX29">
            <v>283891</v>
          </cell>
        </row>
        <row r="30">
          <cell r="AX30">
            <v>360280</v>
          </cell>
        </row>
        <row r="31">
          <cell r="AX31">
            <v>2691316</v>
          </cell>
        </row>
        <row r="32">
          <cell r="AX32">
            <v>385700</v>
          </cell>
        </row>
        <row r="33">
          <cell r="AX33">
            <v>3300444</v>
          </cell>
        </row>
        <row r="34">
          <cell r="AX34">
            <v>0</v>
          </cell>
        </row>
        <row r="35">
          <cell r="AX35">
            <v>0</v>
          </cell>
        </row>
        <row r="36">
          <cell r="AX36">
            <v>0</v>
          </cell>
        </row>
        <row r="37">
          <cell r="AX37">
            <v>20601148</v>
          </cell>
        </row>
        <row r="38">
          <cell r="AX38">
            <v>0</v>
          </cell>
        </row>
        <row r="39">
          <cell r="AX39">
            <v>365044.5</v>
          </cell>
        </row>
        <row r="40">
          <cell r="AX40">
            <v>0</v>
          </cell>
        </row>
        <row r="41">
          <cell r="AX41">
            <v>1022753</v>
          </cell>
        </row>
        <row r="42">
          <cell r="AX42">
            <v>40514</v>
          </cell>
        </row>
        <row r="43">
          <cell r="AX43">
            <v>650</v>
          </cell>
        </row>
        <row r="44">
          <cell r="AX44">
            <v>40500</v>
          </cell>
        </row>
        <row r="45">
          <cell r="AX45">
            <v>0</v>
          </cell>
        </row>
        <row r="46">
          <cell r="AX46">
            <v>0</v>
          </cell>
        </row>
        <row r="47">
          <cell r="AX47">
            <v>3342</v>
          </cell>
        </row>
        <row r="48">
          <cell r="AX48">
            <v>15490</v>
          </cell>
        </row>
        <row r="49">
          <cell r="AX49">
            <v>77016</v>
          </cell>
        </row>
        <row r="50">
          <cell r="AX50">
            <v>664789</v>
          </cell>
        </row>
        <row r="51">
          <cell r="AX51">
            <v>64600</v>
          </cell>
        </row>
        <row r="52">
          <cell r="AX52">
            <v>0</v>
          </cell>
        </row>
        <row r="53">
          <cell r="AX53">
            <v>2294698.5</v>
          </cell>
        </row>
        <row r="54">
          <cell r="AX54">
            <v>0</v>
          </cell>
        </row>
        <row r="55">
          <cell r="AX55">
            <v>3801469</v>
          </cell>
        </row>
        <row r="56">
          <cell r="AX56">
            <v>1134855</v>
          </cell>
        </row>
        <row r="57">
          <cell r="AX57">
            <v>324127</v>
          </cell>
        </row>
        <row r="58">
          <cell r="AX58">
            <v>332579</v>
          </cell>
        </row>
        <row r="59">
          <cell r="AX59">
            <v>17817</v>
          </cell>
        </row>
        <row r="60">
          <cell r="AX60">
            <v>7950</v>
          </cell>
        </row>
        <row r="61">
          <cell r="AX61">
            <v>339900</v>
          </cell>
        </row>
        <row r="62">
          <cell r="AX62">
            <v>5958697</v>
          </cell>
        </row>
        <row r="70">
          <cell r="AX70">
            <v>1298551</v>
          </cell>
        </row>
        <row r="71">
          <cell r="AX71">
            <v>161339</v>
          </cell>
        </row>
        <row r="72">
          <cell r="AX72">
            <v>155390</v>
          </cell>
        </row>
        <row r="73">
          <cell r="AX73">
            <v>412665.9</v>
          </cell>
        </row>
        <row r="74">
          <cell r="AX74">
            <v>2027945.9</v>
          </cell>
        </row>
        <row r="76">
          <cell r="AX76">
            <v>143130.54999999999</v>
          </cell>
        </row>
        <row r="77">
          <cell r="AX77">
            <v>730109</v>
          </cell>
        </row>
        <row r="78">
          <cell r="AX78">
            <v>151700</v>
          </cell>
        </row>
        <row r="79">
          <cell r="AX79">
            <v>1024939.55</v>
          </cell>
        </row>
        <row r="80">
          <cell r="AX80">
            <v>0</v>
          </cell>
        </row>
        <row r="81">
          <cell r="AX81">
            <v>127801</v>
          </cell>
        </row>
        <row r="82">
          <cell r="AX82">
            <v>239418.7</v>
          </cell>
        </row>
        <row r="83">
          <cell r="AX83">
            <v>400152</v>
          </cell>
        </row>
        <row r="84">
          <cell r="AX84">
            <v>80422</v>
          </cell>
        </row>
        <row r="85">
          <cell r="AX85">
            <v>545736</v>
          </cell>
        </row>
        <row r="86">
          <cell r="AX86">
            <v>0</v>
          </cell>
        </row>
        <row r="87">
          <cell r="AX87">
            <v>231877</v>
          </cell>
        </row>
        <row r="88">
          <cell r="AX88">
            <v>739465.6</v>
          </cell>
        </row>
        <row r="89">
          <cell r="AX89">
            <v>45042</v>
          </cell>
        </row>
        <row r="90">
          <cell r="AX90">
            <v>396160.5</v>
          </cell>
        </row>
        <row r="91">
          <cell r="AX91">
            <v>0</v>
          </cell>
        </row>
        <row r="92">
          <cell r="AX92">
            <v>24055.68</v>
          </cell>
        </row>
        <row r="93">
          <cell r="AX93">
            <v>574252</v>
          </cell>
        </row>
        <row r="94">
          <cell r="AX94">
            <v>82254</v>
          </cell>
        </row>
        <row r="95">
          <cell r="AX95">
            <v>1359009.16</v>
          </cell>
        </row>
        <row r="96">
          <cell r="AX96">
            <v>439224.89</v>
          </cell>
        </row>
        <row r="97">
          <cell r="AX97">
            <v>292318</v>
          </cell>
        </row>
        <row r="98">
          <cell r="AX98">
            <v>193011</v>
          </cell>
        </row>
        <row r="99">
          <cell r="AX99">
            <v>624960.82999999996</v>
          </cell>
        </row>
        <row r="100">
          <cell r="AX100">
            <v>349107.07</v>
          </cell>
        </row>
        <row r="101">
          <cell r="AX101">
            <v>876848</v>
          </cell>
        </row>
        <row r="102">
          <cell r="AX102">
            <v>80101</v>
          </cell>
        </row>
        <row r="103">
          <cell r="AX103">
            <v>1336880.3999999999</v>
          </cell>
        </row>
        <row r="104">
          <cell r="AX104">
            <v>2855</v>
          </cell>
        </row>
        <row r="105">
          <cell r="AX105">
            <v>1087532.02</v>
          </cell>
        </row>
        <row r="106">
          <cell r="AX106">
            <v>1036246</v>
          </cell>
        </row>
        <row r="107">
          <cell r="AX107">
            <v>213797</v>
          </cell>
        </row>
        <row r="108">
          <cell r="AX108">
            <v>158249.31</v>
          </cell>
        </row>
        <row r="109">
          <cell r="AX109">
            <v>11536776.16</v>
          </cell>
        </row>
        <row r="110">
          <cell r="AX110">
            <v>0</v>
          </cell>
        </row>
        <row r="111">
          <cell r="AX111">
            <v>0</v>
          </cell>
        </row>
        <row r="112">
          <cell r="AX112">
            <v>0</v>
          </cell>
        </row>
        <row r="113">
          <cell r="AX113">
            <v>8790</v>
          </cell>
        </row>
        <row r="114">
          <cell r="AX114">
            <v>0</v>
          </cell>
        </row>
        <row r="115">
          <cell r="AX115">
            <v>0</v>
          </cell>
        </row>
        <row r="116">
          <cell r="AX116">
            <v>8790</v>
          </cell>
        </row>
        <row r="117">
          <cell r="AX117">
            <v>0</v>
          </cell>
        </row>
        <row r="118">
          <cell r="AX118">
            <v>1556627</v>
          </cell>
        </row>
        <row r="119">
          <cell r="AX119">
            <v>1273854</v>
          </cell>
        </row>
        <row r="120">
          <cell r="AX120">
            <v>1804489</v>
          </cell>
        </row>
        <row r="121">
          <cell r="AX121">
            <v>1158120</v>
          </cell>
        </row>
        <row r="122">
          <cell r="AX122">
            <v>0</v>
          </cell>
        </row>
        <row r="123">
          <cell r="AX123">
            <v>0</v>
          </cell>
        </row>
        <row r="124">
          <cell r="AX124">
            <v>0</v>
          </cell>
        </row>
        <row r="125">
          <cell r="AX125">
            <v>5793090</v>
          </cell>
        </row>
        <row r="126">
          <cell r="AX126">
            <v>235141185.37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B Mapping"/>
      <sheetName val="Element"/>
      <sheetName val="TB"/>
      <sheetName val="W PnL"/>
      <sheetName val="W UHF"/>
      <sheetName val="cash flow working"/>
      <sheetName val="Qtr CF"/>
      <sheetName val="BS"/>
      <sheetName val="P&amp;L"/>
      <sheetName val="Other Comp Income"/>
      <sheetName val="Distri"/>
      <sheetName val="UHF"/>
      <sheetName val="cash flow"/>
      <sheetName val="1 - 4"/>
      <sheetName val="5 - 7"/>
      <sheetName val="8"/>
      <sheetName val="NI(U)T-HFT Final"/>
      <sheetName val="NI(U)T-AFS Final"/>
      <sheetName val="Annexure 3"/>
      <sheetName val="adjust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NATIONAL INVESTMENT (UNIT) TRUST</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TBB"/>
      <sheetName val="BS"/>
      <sheetName val="IS"/>
      <sheetName val="IS Quater working"/>
      <sheetName val="COI"/>
      <sheetName val="OCI Quater working"/>
      <sheetName val="Distribution "/>
      <sheetName val="Distribution Q working"/>
      <sheetName val="UHF"/>
      <sheetName val="UHF Q working"/>
      <sheetName val="Cash Flow "/>
      <sheetName val="CF Q working"/>
      <sheetName val="CF"/>
      <sheetName val="Notes 1-2"/>
      <sheetName val="Notes 2-6"/>
      <sheetName val="Notes 7-9"/>
      <sheetName val="Notes 3.10-4.3"/>
      <sheetName val="Notes 5-11"/>
      <sheetName val="working for investmenst note"/>
      <sheetName val="Notes 10-11"/>
      <sheetName val="RP Q working"/>
      <sheetName val="W.A units"/>
      <sheetName val="W.A units (Q)"/>
      <sheetName val="Annex(2)"/>
      <sheetName val="adjustment"/>
      <sheetName val="Units"/>
      <sheetName val="Weighted Av No. Units"/>
      <sheetName val="distribution income working"/>
      <sheetName val="adjustments"/>
      <sheetName val="working for rp"/>
      <sheetName val="Cash Flow"/>
      <sheetName val="investment note"/>
      <sheetName val="W.A units quarte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A3" t="str">
            <v>FOR THE HALF YEAR AND QUARTER ENDED DECEMBER 31, 2011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view="pageBreakPreview" topLeftCell="A19" zoomScaleSheetLayoutView="100" workbookViewId="0">
      <selection activeCell="H85" sqref="H85"/>
    </sheetView>
  </sheetViews>
  <sheetFormatPr defaultRowHeight="15.75"/>
  <cols>
    <col min="1" max="1" width="13.125" style="481" customWidth="1"/>
    <col min="2" max="2" width="12.125" style="481" bestFit="1" customWidth="1"/>
    <col min="3" max="3" width="7.625" style="481" bestFit="1" customWidth="1"/>
    <col min="4" max="6" width="6.625" style="481" bestFit="1" customWidth="1"/>
    <col min="7" max="7" width="7.625" style="481" bestFit="1" customWidth="1"/>
    <col min="8" max="8" width="13.875" style="481" bestFit="1" customWidth="1"/>
    <col min="9" max="9" width="3.125" style="481" bestFit="1" customWidth="1"/>
    <col min="10" max="10" width="9.5" style="481" bestFit="1" customWidth="1"/>
    <col min="11" max="17" width="15.375" style="481" customWidth="1"/>
    <col min="18" max="18" width="13.75" style="481" bestFit="1" customWidth="1"/>
    <col min="19" max="19" width="10.125" style="481" customWidth="1"/>
    <col min="20" max="21" width="12.75" style="481" bestFit="1" customWidth="1"/>
    <col min="22" max="22" width="10.75" style="481" bestFit="1" customWidth="1"/>
    <col min="23" max="23" width="10.125" style="481" bestFit="1" customWidth="1"/>
    <col min="24" max="16384" width="9" style="481"/>
  </cols>
  <sheetData>
    <row r="1" spans="1:22" ht="14.1" customHeight="1">
      <c r="A1" s="478" t="s">
        <v>263</v>
      </c>
      <c r="B1" s="479"/>
      <c r="C1" s="479"/>
      <c r="D1" s="479"/>
      <c r="E1" s="480"/>
      <c r="F1" s="480"/>
      <c r="G1" s="480"/>
      <c r="H1" s="480"/>
      <c r="I1" s="480"/>
      <c r="J1" s="480"/>
      <c r="K1" s="480"/>
      <c r="L1" s="480"/>
      <c r="M1" s="480"/>
      <c r="N1" s="480"/>
      <c r="O1" s="480"/>
      <c r="P1" s="480"/>
      <c r="Q1" s="480"/>
      <c r="R1" s="115"/>
      <c r="S1" s="115"/>
      <c r="T1" s="115"/>
      <c r="U1" s="115"/>
      <c r="V1" s="115"/>
    </row>
    <row r="2" spans="1:22" ht="14.1" customHeight="1">
      <c r="A2" s="478" t="s">
        <v>264</v>
      </c>
      <c r="B2" s="479"/>
      <c r="C2" s="479"/>
      <c r="D2" s="479"/>
      <c r="E2" s="480"/>
      <c r="F2" s="480"/>
      <c r="G2" s="480"/>
      <c r="H2" s="480"/>
      <c r="I2" s="480"/>
      <c r="J2" s="480"/>
      <c r="K2" s="480"/>
      <c r="L2" s="480"/>
      <c r="M2" s="480"/>
      <c r="N2" s="480"/>
      <c r="O2" s="480"/>
      <c r="P2" s="480"/>
      <c r="Q2" s="480"/>
      <c r="R2" s="115"/>
      <c r="S2" s="115"/>
      <c r="T2" s="115"/>
      <c r="U2" s="115"/>
      <c r="V2" s="115"/>
    </row>
    <row r="3" spans="1:22" ht="14.1" customHeight="1">
      <c r="A3" s="479"/>
      <c r="B3" s="479"/>
      <c r="C3" s="479"/>
      <c r="D3" s="479"/>
      <c r="E3" s="480"/>
      <c r="F3" s="480"/>
      <c r="G3" s="480"/>
      <c r="H3" s="480"/>
      <c r="I3" s="480"/>
      <c r="J3" s="480"/>
      <c r="K3" s="480"/>
      <c r="L3" s="480"/>
      <c r="M3" s="480"/>
      <c r="N3" s="480"/>
      <c r="O3" s="480"/>
      <c r="P3" s="480"/>
      <c r="Q3" s="480"/>
      <c r="R3" s="115"/>
      <c r="S3" s="115"/>
      <c r="T3" s="115"/>
      <c r="U3" s="115"/>
      <c r="V3" s="115"/>
    </row>
    <row r="4" spans="1:22">
      <c r="A4" s="481" t="s">
        <v>268</v>
      </c>
    </row>
    <row r="5" spans="1:22">
      <c r="B5" s="481" t="s">
        <v>18</v>
      </c>
      <c r="C5" s="481" t="s">
        <v>271</v>
      </c>
      <c r="D5" s="484" t="s">
        <v>272</v>
      </c>
      <c r="E5" s="484" t="s">
        <v>223</v>
      </c>
      <c r="F5" s="484" t="s">
        <v>274</v>
      </c>
      <c r="G5" s="484" t="s">
        <v>273</v>
      </c>
      <c r="H5" s="484" t="s">
        <v>275</v>
      </c>
      <c r="K5" s="484" t="s">
        <v>276</v>
      </c>
      <c r="M5" s="481" t="s">
        <v>63</v>
      </c>
      <c r="N5" s="481" t="s">
        <v>277</v>
      </c>
      <c r="O5" s="484" t="s">
        <v>238</v>
      </c>
    </row>
    <row r="6" spans="1:22">
      <c r="A6" s="489">
        <v>42186</v>
      </c>
      <c r="B6" s="485">
        <v>101497336</v>
      </c>
      <c r="C6" s="485">
        <f>ROUND((B6*(1.5%/365)),0)</f>
        <v>4171</v>
      </c>
      <c r="D6" s="485">
        <f t="shared" ref="D6:D10" si="0">ROUND((C6*0.174),0)</f>
        <v>726</v>
      </c>
      <c r="E6" s="485">
        <f t="shared" ref="E6:E10" si="1">ROUND((C6*0.16),0)</f>
        <v>667</v>
      </c>
      <c r="F6" s="485">
        <f>ROUND(((1/30*1%)/365*B6),0)</f>
        <v>93</v>
      </c>
      <c r="G6" s="485">
        <f>ROUND((300000/365),0)/3</f>
        <v>274</v>
      </c>
      <c r="H6" s="485">
        <v>69143897</v>
      </c>
      <c r="I6" s="485">
        <f>5.5%/365</f>
        <v>1.5068493150684933E-4</v>
      </c>
      <c r="J6" s="485">
        <f>ROUND((H6*I6),0)</f>
        <v>10419</v>
      </c>
      <c r="K6" s="485">
        <v>8537502</v>
      </c>
      <c r="L6" s="485">
        <f>14025+2103.75+853.7502</f>
        <v>16982.500199999999</v>
      </c>
      <c r="M6" s="483">
        <f>K6+L6</f>
        <v>8554484.5001999997</v>
      </c>
      <c r="O6" s="483">
        <f>M6-N6</f>
        <v>8554484.5001999997</v>
      </c>
      <c r="P6" s="485">
        <f>ROUND((300000/365),0)</f>
        <v>822</v>
      </c>
    </row>
    <row r="7" spans="1:22">
      <c r="A7" s="490">
        <f>A6+1</f>
        <v>42187</v>
      </c>
      <c r="B7" s="485">
        <v>101967265</v>
      </c>
      <c r="C7" s="485">
        <f>ROUND((B7*(1.5%/365)),0)</f>
        <v>4190</v>
      </c>
      <c r="D7" s="485">
        <f>ROUND((C7*0.1624),0)</f>
        <v>680</v>
      </c>
      <c r="E7" s="485">
        <f t="shared" si="1"/>
        <v>670</v>
      </c>
      <c r="F7" s="485">
        <f>ROUND(((1/30*1%)/365*B7),0)</f>
        <v>93</v>
      </c>
      <c r="G7" s="485">
        <f>ROUND((300000/365),0)/3</f>
        <v>274</v>
      </c>
      <c r="H7" s="485">
        <f>48690511.14+20000000</f>
        <v>68690511.140000001</v>
      </c>
      <c r="I7" s="485">
        <f>5.5%/365</f>
        <v>1.5068493150684933E-4</v>
      </c>
      <c r="J7" s="485">
        <f>ROUND((H7*I7),0)</f>
        <v>10351</v>
      </c>
      <c r="K7" s="481">
        <v>0</v>
      </c>
      <c r="L7" s="481">
        <v>0</v>
      </c>
      <c r="M7" s="483">
        <f>M6+K7+L7</f>
        <v>8554484.5001999997</v>
      </c>
      <c r="N7" s="481">
        <v>8550000</v>
      </c>
      <c r="O7" s="483">
        <f>M7-N7</f>
        <v>4484.5001999996603</v>
      </c>
      <c r="P7" s="483">
        <f>P6/3</f>
        <v>274</v>
      </c>
    </row>
    <row r="8" spans="1:22">
      <c r="A8" s="490">
        <f t="shared" ref="A8:A36" si="2">A7+1</f>
        <v>42188</v>
      </c>
      <c r="B8" s="485">
        <v>102118679</v>
      </c>
      <c r="C8" s="485">
        <f>ROUND((B8*(1.5%/365)),0)</f>
        <v>4197</v>
      </c>
      <c r="D8" s="485">
        <f>ROUND((C8*0.1624),0)</f>
        <v>682</v>
      </c>
      <c r="E8" s="485">
        <f t="shared" ref="E8" si="3">ROUND((C8*0.16),0)</f>
        <v>672</v>
      </c>
      <c r="F8" s="485">
        <f>ROUND(((1/30*1%)/365*B8),0)</f>
        <v>93</v>
      </c>
      <c r="G8" s="485">
        <f>ROUND((300000/365),0)/3</f>
        <v>274</v>
      </c>
      <c r="H8" s="485">
        <f>44284511.14*0+64844171.24</f>
        <v>64844171.240000002</v>
      </c>
      <c r="I8" s="485">
        <f t="shared" ref="I8:I36" si="4">5.5%/365</f>
        <v>1.5068493150684933E-4</v>
      </c>
      <c r="J8" s="485">
        <f>ROUND((H8*I8),0)</f>
        <v>9771</v>
      </c>
      <c r="K8" s="483">
        <f>J6+J7</f>
        <v>20770</v>
      </c>
    </row>
    <row r="9" spans="1:22">
      <c r="A9" s="490">
        <f t="shared" si="2"/>
        <v>42189</v>
      </c>
      <c r="B9" s="485">
        <v>102118679</v>
      </c>
      <c r="C9" s="485">
        <f>ROUND((B9*(1.5%/365)),0)</f>
        <v>4197</v>
      </c>
      <c r="D9" s="485">
        <f t="shared" si="0"/>
        <v>730</v>
      </c>
      <c r="E9" s="485">
        <f t="shared" si="1"/>
        <v>672</v>
      </c>
      <c r="F9" s="485">
        <f>ROUND(((1/30*1%)/365*B9),0)</f>
        <v>93</v>
      </c>
      <c r="G9" s="485">
        <f>952/3</f>
        <v>317.33333333333331</v>
      </c>
      <c r="H9" s="362">
        <v>64844171.240000002</v>
      </c>
      <c r="I9" s="485">
        <f t="shared" si="4"/>
        <v>1.5068493150684933E-4</v>
      </c>
      <c r="J9" s="485">
        <f>ROUND((H9*I9),0)</f>
        <v>9771</v>
      </c>
      <c r="K9" s="481">
        <f>J7*2</f>
        <v>20702</v>
      </c>
    </row>
    <row r="10" spans="1:22">
      <c r="A10" s="490">
        <f t="shared" si="2"/>
        <v>42190</v>
      </c>
      <c r="B10" s="485">
        <v>102118679</v>
      </c>
      <c r="C10" s="485">
        <f>ROUND((B10*(1.5%/365)),0)</f>
        <v>4197</v>
      </c>
      <c r="D10" s="485">
        <f t="shared" si="0"/>
        <v>730</v>
      </c>
      <c r="E10" s="485">
        <f t="shared" si="1"/>
        <v>672</v>
      </c>
      <c r="F10" s="485">
        <f>ROUND(((1/30*1%)/365*B10),0)</f>
        <v>93</v>
      </c>
      <c r="G10" s="485">
        <f t="shared" ref="G10:G11" si="5">952/3</f>
        <v>317.33333333333331</v>
      </c>
      <c r="H10" s="362">
        <v>64844171.240000002</v>
      </c>
      <c r="I10" s="485">
        <f t="shared" si="4"/>
        <v>1.5068493150684933E-4</v>
      </c>
      <c r="J10" s="485">
        <f>ROUND((H10*I10),0)</f>
        <v>9771</v>
      </c>
      <c r="K10" s="483">
        <f>K8-K9</f>
        <v>68</v>
      </c>
    </row>
    <row r="11" spans="1:22">
      <c r="A11" s="490">
        <f t="shared" si="2"/>
        <v>42191</v>
      </c>
      <c r="B11" s="485">
        <v>102086641</v>
      </c>
      <c r="C11" s="485">
        <f t="shared" ref="C11:C36" si="6">ROUND((B11*(1.5%/365)),0)</f>
        <v>4195</v>
      </c>
      <c r="D11" s="485">
        <f t="shared" ref="D11:D36" si="7">ROUND((C11*0.174),0)</f>
        <v>730</v>
      </c>
      <c r="E11" s="485">
        <f t="shared" ref="E11:E36" si="8">ROUND((C11*0.16),0)</f>
        <v>671</v>
      </c>
      <c r="F11" s="485">
        <f t="shared" ref="F11:F36" si="9">ROUND(((1/30*1%)/365*B11),0)</f>
        <v>93</v>
      </c>
      <c r="G11" s="485">
        <f t="shared" si="5"/>
        <v>317.33333333333331</v>
      </c>
      <c r="H11" s="362">
        <f>64844171.24-9300000</f>
        <v>55544171.240000002</v>
      </c>
      <c r="I11" s="485">
        <f t="shared" si="4"/>
        <v>1.5068493150684933E-4</v>
      </c>
      <c r="J11" s="485">
        <f t="shared" ref="J11:J36" si="10">ROUND((H11*I11),0)</f>
        <v>8370</v>
      </c>
    </row>
    <row r="12" spans="1:22">
      <c r="A12" s="490">
        <f t="shared" si="2"/>
        <v>42192</v>
      </c>
      <c r="B12" s="485"/>
      <c r="C12" s="485">
        <f t="shared" si="6"/>
        <v>0</v>
      </c>
      <c r="D12" s="485">
        <f t="shared" si="7"/>
        <v>0</v>
      </c>
      <c r="E12" s="485">
        <f t="shared" si="8"/>
        <v>0</v>
      </c>
      <c r="F12" s="485">
        <f t="shared" si="9"/>
        <v>0</v>
      </c>
      <c r="G12" s="485">
        <f t="shared" ref="G12:G36" si="11">ROUND((0/365),0)</f>
        <v>0</v>
      </c>
      <c r="H12" s="485"/>
      <c r="I12" s="485">
        <f t="shared" si="4"/>
        <v>1.5068493150684933E-4</v>
      </c>
      <c r="J12" s="485">
        <f t="shared" si="10"/>
        <v>0</v>
      </c>
    </row>
    <row r="13" spans="1:22">
      <c r="A13" s="490">
        <f t="shared" si="2"/>
        <v>42193</v>
      </c>
      <c r="B13" s="485"/>
      <c r="C13" s="485">
        <f t="shared" si="6"/>
        <v>0</v>
      </c>
      <c r="D13" s="485">
        <f t="shared" si="7"/>
        <v>0</v>
      </c>
      <c r="E13" s="485">
        <f t="shared" si="8"/>
        <v>0</v>
      </c>
      <c r="F13" s="485">
        <f t="shared" si="9"/>
        <v>0</v>
      </c>
      <c r="G13" s="485">
        <f t="shared" si="11"/>
        <v>0</v>
      </c>
      <c r="H13" s="485"/>
      <c r="I13" s="485">
        <f t="shared" si="4"/>
        <v>1.5068493150684933E-4</v>
      </c>
      <c r="J13" s="485">
        <f t="shared" si="10"/>
        <v>0</v>
      </c>
    </row>
    <row r="14" spans="1:22">
      <c r="A14" s="490">
        <f t="shared" si="2"/>
        <v>42194</v>
      </c>
      <c r="B14" s="485"/>
      <c r="C14" s="485">
        <f t="shared" si="6"/>
        <v>0</v>
      </c>
      <c r="D14" s="485">
        <f t="shared" si="7"/>
        <v>0</v>
      </c>
      <c r="E14" s="485">
        <f t="shared" si="8"/>
        <v>0</v>
      </c>
      <c r="F14" s="485">
        <f t="shared" si="9"/>
        <v>0</v>
      </c>
      <c r="G14" s="485">
        <f t="shared" si="11"/>
        <v>0</v>
      </c>
      <c r="H14" s="485"/>
      <c r="I14" s="485">
        <f t="shared" si="4"/>
        <v>1.5068493150684933E-4</v>
      </c>
      <c r="J14" s="485">
        <f t="shared" si="10"/>
        <v>0</v>
      </c>
    </row>
    <row r="15" spans="1:22">
      <c r="A15" s="490">
        <f t="shared" si="2"/>
        <v>42195</v>
      </c>
      <c r="B15" s="485"/>
      <c r="C15" s="485">
        <f t="shared" si="6"/>
        <v>0</v>
      </c>
      <c r="D15" s="485">
        <f t="shared" si="7"/>
        <v>0</v>
      </c>
      <c r="E15" s="485">
        <f t="shared" si="8"/>
        <v>0</v>
      </c>
      <c r="F15" s="485">
        <f t="shared" si="9"/>
        <v>0</v>
      </c>
      <c r="G15" s="485">
        <f t="shared" si="11"/>
        <v>0</v>
      </c>
      <c r="H15" s="485"/>
      <c r="I15" s="485">
        <f t="shared" si="4"/>
        <v>1.5068493150684933E-4</v>
      </c>
      <c r="J15" s="485">
        <f t="shared" si="10"/>
        <v>0</v>
      </c>
    </row>
    <row r="16" spans="1:22">
      <c r="A16" s="490">
        <f t="shared" si="2"/>
        <v>42196</v>
      </c>
      <c r="B16" s="485"/>
      <c r="C16" s="485">
        <f t="shared" si="6"/>
        <v>0</v>
      </c>
      <c r="D16" s="485">
        <f t="shared" si="7"/>
        <v>0</v>
      </c>
      <c r="E16" s="485">
        <f t="shared" si="8"/>
        <v>0</v>
      </c>
      <c r="F16" s="485">
        <f t="shared" si="9"/>
        <v>0</v>
      </c>
      <c r="G16" s="485">
        <f t="shared" si="11"/>
        <v>0</v>
      </c>
      <c r="H16" s="485"/>
      <c r="I16" s="485">
        <f t="shared" si="4"/>
        <v>1.5068493150684933E-4</v>
      </c>
      <c r="J16" s="485">
        <f t="shared" si="10"/>
        <v>0</v>
      </c>
    </row>
    <row r="17" spans="1:10">
      <c r="A17" s="490">
        <f t="shared" si="2"/>
        <v>42197</v>
      </c>
      <c r="B17" s="485"/>
      <c r="C17" s="485">
        <f t="shared" si="6"/>
        <v>0</v>
      </c>
      <c r="D17" s="485">
        <f t="shared" si="7"/>
        <v>0</v>
      </c>
      <c r="E17" s="485">
        <f t="shared" si="8"/>
        <v>0</v>
      </c>
      <c r="F17" s="485">
        <f t="shared" si="9"/>
        <v>0</v>
      </c>
      <c r="G17" s="485">
        <f t="shared" si="11"/>
        <v>0</v>
      </c>
      <c r="H17" s="485"/>
      <c r="I17" s="485">
        <f t="shared" si="4"/>
        <v>1.5068493150684933E-4</v>
      </c>
      <c r="J17" s="485">
        <f t="shared" si="10"/>
        <v>0</v>
      </c>
    </row>
    <row r="18" spans="1:10">
      <c r="A18" s="490">
        <f t="shared" si="2"/>
        <v>42198</v>
      </c>
      <c r="B18" s="485"/>
      <c r="C18" s="485">
        <f t="shared" si="6"/>
        <v>0</v>
      </c>
      <c r="D18" s="485">
        <f t="shared" si="7"/>
        <v>0</v>
      </c>
      <c r="E18" s="485">
        <f t="shared" si="8"/>
        <v>0</v>
      </c>
      <c r="F18" s="485">
        <f t="shared" si="9"/>
        <v>0</v>
      </c>
      <c r="G18" s="485">
        <f t="shared" si="11"/>
        <v>0</v>
      </c>
      <c r="H18" s="485"/>
      <c r="I18" s="485">
        <f t="shared" si="4"/>
        <v>1.5068493150684933E-4</v>
      </c>
      <c r="J18" s="485">
        <f t="shared" si="10"/>
        <v>0</v>
      </c>
    </row>
    <row r="19" spans="1:10">
      <c r="A19" s="490">
        <f t="shared" si="2"/>
        <v>42199</v>
      </c>
      <c r="B19" s="485"/>
      <c r="C19" s="485">
        <f t="shared" si="6"/>
        <v>0</v>
      </c>
      <c r="D19" s="485">
        <f t="shared" si="7"/>
        <v>0</v>
      </c>
      <c r="E19" s="485">
        <f t="shared" si="8"/>
        <v>0</v>
      </c>
      <c r="F19" s="485">
        <f t="shared" si="9"/>
        <v>0</v>
      </c>
      <c r="G19" s="485">
        <f t="shared" si="11"/>
        <v>0</v>
      </c>
      <c r="H19" s="485"/>
      <c r="I19" s="485">
        <f t="shared" si="4"/>
        <v>1.5068493150684933E-4</v>
      </c>
      <c r="J19" s="485">
        <f t="shared" si="10"/>
        <v>0</v>
      </c>
    </row>
    <row r="20" spans="1:10">
      <c r="A20" s="490">
        <f t="shared" si="2"/>
        <v>42200</v>
      </c>
      <c r="B20" s="485"/>
      <c r="C20" s="485">
        <f t="shared" si="6"/>
        <v>0</v>
      </c>
      <c r="D20" s="485">
        <f t="shared" si="7"/>
        <v>0</v>
      </c>
      <c r="E20" s="485">
        <f t="shared" si="8"/>
        <v>0</v>
      </c>
      <c r="F20" s="485">
        <f t="shared" si="9"/>
        <v>0</v>
      </c>
      <c r="G20" s="485">
        <f t="shared" si="11"/>
        <v>0</v>
      </c>
      <c r="H20" s="485"/>
      <c r="I20" s="485">
        <f t="shared" si="4"/>
        <v>1.5068493150684933E-4</v>
      </c>
      <c r="J20" s="485">
        <f t="shared" si="10"/>
        <v>0</v>
      </c>
    </row>
    <row r="21" spans="1:10">
      <c r="A21" s="490">
        <f t="shared" si="2"/>
        <v>42201</v>
      </c>
      <c r="B21" s="485"/>
      <c r="C21" s="485">
        <f t="shared" si="6"/>
        <v>0</v>
      </c>
      <c r="D21" s="485">
        <f t="shared" si="7"/>
        <v>0</v>
      </c>
      <c r="E21" s="485">
        <f t="shared" si="8"/>
        <v>0</v>
      </c>
      <c r="F21" s="485">
        <f t="shared" si="9"/>
        <v>0</v>
      </c>
      <c r="G21" s="485">
        <f t="shared" si="11"/>
        <v>0</v>
      </c>
      <c r="H21" s="485"/>
      <c r="I21" s="485">
        <f t="shared" si="4"/>
        <v>1.5068493150684933E-4</v>
      </c>
      <c r="J21" s="485">
        <f t="shared" si="10"/>
        <v>0</v>
      </c>
    </row>
    <row r="22" spans="1:10">
      <c r="A22" s="490">
        <f t="shared" si="2"/>
        <v>42202</v>
      </c>
      <c r="B22" s="485"/>
      <c r="C22" s="485">
        <f t="shared" si="6"/>
        <v>0</v>
      </c>
      <c r="D22" s="485">
        <f t="shared" si="7"/>
        <v>0</v>
      </c>
      <c r="E22" s="485">
        <f t="shared" si="8"/>
        <v>0</v>
      </c>
      <c r="F22" s="485">
        <f t="shared" si="9"/>
        <v>0</v>
      </c>
      <c r="G22" s="485">
        <f t="shared" si="11"/>
        <v>0</v>
      </c>
      <c r="H22" s="485"/>
      <c r="I22" s="485">
        <f t="shared" si="4"/>
        <v>1.5068493150684933E-4</v>
      </c>
      <c r="J22" s="485">
        <f t="shared" si="10"/>
        <v>0</v>
      </c>
    </row>
    <row r="23" spans="1:10">
      <c r="A23" s="490">
        <f t="shared" si="2"/>
        <v>42203</v>
      </c>
      <c r="B23" s="485"/>
      <c r="C23" s="485">
        <f t="shared" si="6"/>
        <v>0</v>
      </c>
      <c r="D23" s="485">
        <f t="shared" si="7"/>
        <v>0</v>
      </c>
      <c r="E23" s="485">
        <f t="shared" si="8"/>
        <v>0</v>
      </c>
      <c r="F23" s="485">
        <f t="shared" si="9"/>
        <v>0</v>
      </c>
      <c r="G23" s="485">
        <f t="shared" si="11"/>
        <v>0</v>
      </c>
      <c r="H23" s="485"/>
      <c r="I23" s="485">
        <f t="shared" si="4"/>
        <v>1.5068493150684933E-4</v>
      </c>
      <c r="J23" s="485">
        <f t="shared" si="10"/>
        <v>0</v>
      </c>
    </row>
    <row r="24" spans="1:10">
      <c r="A24" s="490">
        <f t="shared" si="2"/>
        <v>42204</v>
      </c>
      <c r="B24" s="485"/>
      <c r="C24" s="485">
        <f t="shared" si="6"/>
        <v>0</v>
      </c>
      <c r="D24" s="485">
        <f t="shared" si="7"/>
        <v>0</v>
      </c>
      <c r="E24" s="485">
        <f t="shared" si="8"/>
        <v>0</v>
      </c>
      <c r="F24" s="485">
        <f t="shared" si="9"/>
        <v>0</v>
      </c>
      <c r="G24" s="485">
        <f t="shared" si="11"/>
        <v>0</v>
      </c>
      <c r="H24" s="485"/>
      <c r="I24" s="485">
        <f t="shared" si="4"/>
        <v>1.5068493150684933E-4</v>
      </c>
      <c r="J24" s="485">
        <f t="shared" si="10"/>
        <v>0</v>
      </c>
    </row>
    <row r="25" spans="1:10">
      <c r="A25" s="490">
        <f t="shared" si="2"/>
        <v>42205</v>
      </c>
      <c r="B25" s="485"/>
      <c r="C25" s="485">
        <f t="shared" si="6"/>
        <v>0</v>
      </c>
      <c r="D25" s="485">
        <f t="shared" si="7"/>
        <v>0</v>
      </c>
      <c r="E25" s="485">
        <f t="shared" si="8"/>
        <v>0</v>
      </c>
      <c r="F25" s="485">
        <f t="shared" si="9"/>
        <v>0</v>
      </c>
      <c r="G25" s="485">
        <f t="shared" si="11"/>
        <v>0</v>
      </c>
      <c r="H25" s="485"/>
      <c r="I25" s="485">
        <f t="shared" si="4"/>
        <v>1.5068493150684933E-4</v>
      </c>
      <c r="J25" s="485">
        <f t="shared" si="10"/>
        <v>0</v>
      </c>
    </row>
    <row r="26" spans="1:10">
      <c r="A26" s="490">
        <f t="shared" si="2"/>
        <v>42206</v>
      </c>
      <c r="B26" s="485"/>
      <c r="C26" s="485">
        <f t="shared" si="6"/>
        <v>0</v>
      </c>
      <c r="D26" s="485">
        <f t="shared" si="7"/>
        <v>0</v>
      </c>
      <c r="E26" s="485">
        <f t="shared" si="8"/>
        <v>0</v>
      </c>
      <c r="F26" s="485">
        <f t="shared" si="9"/>
        <v>0</v>
      </c>
      <c r="G26" s="485">
        <f t="shared" si="11"/>
        <v>0</v>
      </c>
      <c r="H26" s="485"/>
      <c r="I26" s="485">
        <f t="shared" si="4"/>
        <v>1.5068493150684933E-4</v>
      </c>
      <c r="J26" s="485">
        <f t="shared" si="10"/>
        <v>0</v>
      </c>
    </row>
    <row r="27" spans="1:10">
      <c r="A27" s="490">
        <f t="shared" si="2"/>
        <v>42207</v>
      </c>
      <c r="B27" s="485"/>
      <c r="C27" s="485">
        <f t="shared" si="6"/>
        <v>0</v>
      </c>
      <c r="D27" s="485">
        <f t="shared" si="7"/>
        <v>0</v>
      </c>
      <c r="E27" s="485">
        <f t="shared" si="8"/>
        <v>0</v>
      </c>
      <c r="F27" s="485">
        <f t="shared" si="9"/>
        <v>0</v>
      </c>
      <c r="G27" s="485">
        <f t="shared" si="11"/>
        <v>0</v>
      </c>
      <c r="H27" s="485"/>
      <c r="I27" s="485">
        <f t="shared" si="4"/>
        <v>1.5068493150684933E-4</v>
      </c>
      <c r="J27" s="485">
        <f t="shared" si="10"/>
        <v>0</v>
      </c>
    </row>
    <row r="28" spans="1:10">
      <c r="A28" s="490">
        <f t="shared" si="2"/>
        <v>42208</v>
      </c>
      <c r="B28" s="485"/>
      <c r="C28" s="485">
        <f t="shared" si="6"/>
        <v>0</v>
      </c>
      <c r="D28" s="485">
        <f t="shared" si="7"/>
        <v>0</v>
      </c>
      <c r="E28" s="485">
        <f t="shared" si="8"/>
        <v>0</v>
      </c>
      <c r="F28" s="485">
        <f t="shared" si="9"/>
        <v>0</v>
      </c>
      <c r="G28" s="485">
        <f t="shared" si="11"/>
        <v>0</v>
      </c>
      <c r="H28" s="485"/>
      <c r="I28" s="485">
        <f t="shared" si="4"/>
        <v>1.5068493150684933E-4</v>
      </c>
      <c r="J28" s="485">
        <f t="shared" si="10"/>
        <v>0</v>
      </c>
    </row>
    <row r="29" spans="1:10">
      <c r="A29" s="490">
        <f t="shared" si="2"/>
        <v>42209</v>
      </c>
      <c r="B29" s="485"/>
      <c r="C29" s="485">
        <f t="shared" si="6"/>
        <v>0</v>
      </c>
      <c r="D29" s="485">
        <f t="shared" si="7"/>
        <v>0</v>
      </c>
      <c r="E29" s="485">
        <f t="shared" si="8"/>
        <v>0</v>
      </c>
      <c r="F29" s="485">
        <f t="shared" si="9"/>
        <v>0</v>
      </c>
      <c r="G29" s="485">
        <f t="shared" si="11"/>
        <v>0</v>
      </c>
      <c r="H29" s="485"/>
      <c r="I29" s="485">
        <f t="shared" si="4"/>
        <v>1.5068493150684933E-4</v>
      </c>
      <c r="J29" s="485">
        <f t="shared" si="10"/>
        <v>0</v>
      </c>
    </row>
    <row r="30" spans="1:10">
      <c r="A30" s="490">
        <f t="shared" si="2"/>
        <v>42210</v>
      </c>
      <c r="B30" s="485"/>
      <c r="C30" s="485">
        <f t="shared" si="6"/>
        <v>0</v>
      </c>
      <c r="D30" s="485">
        <f t="shared" si="7"/>
        <v>0</v>
      </c>
      <c r="E30" s="485">
        <f t="shared" si="8"/>
        <v>0</v>
      </c>
      <c r="F30" s="485">
        <f t="shared" si="9"/>
        <v>0</v>
      </c>
      <c r="G30" s="485">
        <f t="shared" si="11"/>
        <v>0</v>
      </c>
      <c r="H30" s="485"/>
      <c r="I30" s="485">
        <f t="shared" si="4"/>
        <v>1.5068493150684933E-4</v>
      </c>
      <c r="J30" s="485">
        <f t="shared" si="10"/>
        <v>0</v>
      </c>
    </row>
    <row r="31" spans="1:10">
      <c r="A31" s="490">
        <f t="shared" si="2"/>
        <v>42211</v>
      </c>
      <c r="B31" s="485"/>
      <c r="C31" s="485">
        <f t="shared" si="6"/>
        <v>0</v>
      </c>
      <c r="D31" s="485">
        <f t="shared" si="7"/>
        <v>0</v>
      </c>
      <c r="E31" s="485">
        <f t="shared" si="8"/>
        <v>0</v>
      </c>
      <c r="F31" s="485">
        <f t="shared" si="9"/>
        <v>0</v>
      </c>
      <c r="G31" s="485">
        <f t="shared" si="11"/>
        <v>0</v>
      </c>
      <c r="H31" s="485"/>
      <c r="I31" s="485">
        <f t="shared" si="4"/>
        <v>1.5068493150684933E-4</v>
      </c>
      <c r="J31" s="485">
        <f t="shared" si="10"/>
        <v>0</v>
      </c>
    </row>
    <row r="32" spans="1:10">
      <c r="A32" s="490">
        <f t="shared" si="2"/>
        <v>42212</v>
      </c>
      <c r="B32" s="485"/>
      <c r="C32" s="485">
        <f t="shared" si="6"/>
        <v>0</v>
      </c>
      <c r="D32" s="485">
        <f t="shared" si="7"/>
        <v>0</v>
      </c>
      <c r="E32" s="485">
        <f t="shared" si="8"/>
        <v>0</v>
      </c>
      <c r="F32" s="485">
        <f t="shared" si="9"/>
        <v>0</v>
      </c>
      <c r="G32" s="485">
        <f t="shared" si="11"/>
        <v>0</v>
      </c>
      <c r="H32" s="485"/>
      <c r="I32" s="485">
        <f t="shared" si="4"/>
        <v>1.5068493150684933E-4</v>
      </c>
      <c r="J32" s="485">
        <f t="shared" si="10"/>
        <v>0</v>
      </c>
    </row>
    <row r="33" spans="1:12">
      <c r="A33" s="490">
        <f t="shared" si="2"/>
        <v>42213</v>
      </c>
      <c r="B33" s="485"/>
      <c r="C33" s="485">
        <f t="shared" si="6"/>
        <v>0</v>
      </c>
      <c r="D33" s="485">
        <f t="shared" si="7"/>
        <v>0</v>
      </c>
      <c r="E33" s="485">
        <f t="shared" si="8"/>
        <v>0</v>
      </c>
      <c r="F33" s="485">
        <f t="shared" si="9"/>
        <v>0</v>
      </c>
      <c r="G33" s="485">
        <f t="shared" si="11"/>
        <v>0</v>
      </c>
      <c r="H33" s="485"/>
      <c r="I33" s="485">
        <f t="shared" si="4"/>
        <v>1.5068493150684933E-4</v>
      </c>
      <c r="J33" s="485">
        <f t="shared" si="10"/>
        <v>0</v>
      </c>
    </row>
    <row r="34" spans="1:12">
      <c r="A34" s="490">
        <f t="shared" si="2"/>
        <v>42214</v>
      </c>
      <c r="B34" s="485"/>
      <c r="C34" s="485">
        <f t="shared" si="6"/>
        <v>0</v>
      </c>
      <c r="D34" s="485">
        <f t="shared" si="7"/>
        <v>0</v>
      </c>
      <c r="E34" s="485">
        <f t="shared" si="8"/>
        <v>0</v>
      </c>
      <c r="F34" s="485">
        <f t="shared" si="9"/>
        <v>0</v>
      </c>
      <c r="G34" s="485">
        <f t="shared" si="11"/>
        <v>0</v>
      </c>
      <c r="H34" s="485"/>
      <c r="I34" s="485">
        <f t="shared" si="4"/>
        <v>1.5068493150684933E-4</v>
      </c>
      <c r="J34" s="485">
        <f t="shared" si="10"/>
        <v>0</v>
      </c>
    </row>
    <row r="35" spans="1:12">
      <c r="A35" s="490">
        <f t="shared" si="2"/>
        <v>42215</v>
      </c>
      <c r="B35" s="485"/>
      <c r="C35" s="485">
        <f t="shared" si="6"/>
        <v>0</v>
      </c>
      <c r="D35" s="485">
        <f t="shared" si="7"/>
        <v>0</v>
      </c>
      <c r="E35" s="485">
        <f t="shared" si="8"/>
        <v>0</v>
      </c>
      <c r="F35" s="485">
        <f t="shared" si="9"/>
        <v>0</v>
      </c>
      <c r="G35" s="485">
        <f t="shared" si="11"/>
        <v>0</v>
      </c>
      <c r="H35" s="485"/>
      <c r="I35" s="485">
        <f t="shared" si="4"/>
        <v>1.5068493150684933E-4</v>
      </c>
      <c r="J35" s="485">
        <f t="shared" si="10"/>
        <v>0</v>
      </c>
    </row>
    <row r="36" spans="1:12">
      <c r="A36" s="490">
        <f t="shared" si="2"/>
        <v>42216</v>
      </c>
      <c r="B36" s="485"/>
      <c r="C36" s="485">
        <f t="shared" si="6"/>
        <v>0</v>
      </c>
      <c r="D36" s="485">
        <f t="shared" si="7"/>
        <v>0</v>
      </c>
      <c r="E36" s="485">
        <f t="shared" si="8"/>
        <v>0</v>
      </c>
      <c r="F36" s="485">
        <f t="shared" si="9"/>
        <v>0</v>
      </c>
      <c r="G36" s="485">
        <f t="shared" si="11"/>
        <v>0</v>
      </c>
      <c r="H36" s="485"/>
      <c r="I36" s="485">
        <f t="shared" si="4"/>
        <v>1.5068493150684933E-4</v>
      </c>
      <c r="J36" s="485">
        <f t="shared" si="10"/>
        <v>0</v>
      </c>
    </row>
    <row r="38" spans="1:12">
      <c r="A38" s="481" t="s">
        <v>215</v>
      </c>
      <c r="C38" s="492">
        <f>SUM(C6:C37)</f>
        <v>25147</v>
      </c>
      <c r="D38" s="492">
        <f>SUM(D6:D37)</f>
        <v>4278</v>
      </c>
      <c r="E38" s="492">
        <f>SUM(E6:E37)</f>
        <v>4024</v>
      </c>
      <c r="F38" s="492">
        <f>SUM(F6:F37)</f>
        <v>558</v>
      </c>
      <c r="G38" s="492">
        <f>SUM(G6:G37)</f>
        <v>1773.9999999999998</v>
      </c>
      <c r="H38" s="486"/>
      <c r="I38" s="486"/>
      <c r="J38" s="492">
        <f>SUM(J6:J37)</f>
        <v>58453</v>
      </c>
      <c r="K38" s="481">
        <f>27443</f>
        <v>27443</v>
      </c>
      <c r="L38" s="483">
        <f>J38-K38</f>
        <v>31010</v>
      </c>
    </row>
    <row r="40" spans="1:12">
      <c r="A40" s="481" t="s">
        <v>269</v>
      </c>
    </row>
    <row r="41" spans="1:12">
      <c r="B41" s="481" t="s">
        <v>18</v>
      </c>
      <c r="C41" s="481" t="s">
        <v>271</v>
      </c>
      <c r="D41" s="484" t="s">
        <v>272</v>
      </c>
      <c r="E41" s="484" t="s">
        <v>223</v>
      </c>
      <c r="F41" s="484" t="s">
        <v>274</v>
      </c>
      <c r="G41" s="484" t="s">
        <v>273</v>
      </c>
      <c r="H41" s="484" t="s">
        <v>275</v>
      </c>
    </row>
    <row r="42" spans="1:12">
      <c r="A42" s="489">
        <v>42186</v>
      </c>
      <c r="B42" s="485">
        <v>75802568</v>
      </c>
      <c r="C42" s="485">
        <f>ROUND((B42*(1.5%/365)),0)</f>
        <v>3115</v>
      </c>
      <c r="D42" s="485">
        <f t="shared" ref="D42:D72" si="12">ROUND((C42*0.174),0)</f>
        <v>542</v>
      </c>
      <c r="E42" s="485">
        <f t="shared" ref="E42:E72" si="13">ROUND((C42*0.16),0)</f>
        <v>498</v>
      </c>
      <c r="F42" s="485">
        <f>ROUND(((1/30*1%)/365*B42),0)</f>
        <v>69</v>
      </c>
      <c r="G42" s="485">
        <f>ROUND((300000/365),0)/3</f>
        <v>274</v>
      </c>
      <c r="H42" s="485">
        <v>75735900</v>
      </c>
      <c r="I42" s="485">
        <f t="shared" ref="I42:I72" si="14">5.5%/365</f>
        <v>1.5068493150684933E-4</v>
      </c>
      <c r="J42" s="485">
        <f>ROUND((H42*I42),0)</f>
        <v>11412</v>
      </c>
      <c r="K42" s="481">
        <v>75238131.25</v>
      </c>
      <c r="L42" s="482">
        <f>K42*I42*7</f>
        <v>79360.768578767136</v>
      </c>
    </row>
    <row r="43" spans="1:12">
      <c r="A43" s="490">
        <f>A42+1</f>
        <v>42187</v>
      </c>
      <c r="B43" s="485">
        <v>76160631</v>
      </c>
      <c r="C43" s="485">
        <f>ROUND((B43*(1.5%/365)),0)</f>
        <v>3130</v>
      </c>
      <c r="D43" s="485">
        <f>ROUND((C43*0.1624),0)</f>
        <v>508</v>
      </c>
      <c r="E43" s="485">
        <f t="shared" si="13"/>
        <v>501</v>
      </c>
      <c r="F43" s="485">
        <f>ROUND(((1/30*1%)/365*B43),0)</f>
        <v>70</v>
      </c>
      <c r="G43" s="485">
        <f>ROUND((300000/365),0)/3</f>
        <v>274</v>
      </c>
      <c r="H43" s="485">
        <v>75735900</v>
      </c>
      <c r="I43" s="485">
        <f t="shared" si="14"/>
        <v>1.5068493150684933E-4</v>
      </c>
      <c r="J43" s="485">
        <f>ROUND((H43*I43),0)</f>
        <v>11412</v>
      </c>
      <c r="K43" s="481">
        <v>75238131.25</v>
      </c>
      <c r="L43" s="482">
        <f t="shared" ref="L43:L49" si="15">K43*I43</f>
        <v>11337.25265410959</v>
      </c>
    </row>
    <row r="44" spans="1:12">
      <c r="A44" s="490">
        <f t="shared" ref="A44:A72" si="16">A43+1</f>
        <v>42188</v>
      </c>
      <c r="B44" s="485">
        <v>76177498</v>
      </c>
      <c r="C44" s="485">
        <f>ROUND((B44*(1.5%/365)),0)</f>
        <v>3131</v>
      </c>
      <c r="D44" s="485">
        <f>ROUND((C44*0.1624),0)</f>
        <v>508</v>
      </c>
      <c r="E44" s="485">
        <f t="shared" ref="E44" si="17">ROUND((C44*0.16),0)</f>
        <v>501</v>
      </c>
      <c r="F44" s="485">
        <f>ROUND(((1/30*1%)/365*B44),0)</f>
        <v>70</v>
      </c>
      <c r="G44" s="485">
        <f>ROUND((300000/365),0)/3</f>
        <v>274</v>
      </c>
      <c r="H44" s="485">
        <v>75590131.25</v>
      </c>
      <c r="I44" s="485">
        <f t="shared" si="14"/>
        <v>1.5068493150684933E-4</v>
      </c>
      <c r="J44" s="485">
        <f>ROUND((H44*I44),0)</f>
        <v>11390</v>
      </c>
      <c r="K44" s="481">
        <v>75238131.25</v>
      </c>
      <c r="L44" s="482">
        <f t="shared" si="15"/>
        <v>11337.25265410959</v>
      </c>
    </row>
    <row r="45" spans="1:12">
      <c r="A45" s="490">
        <f t="shared" si="16"/>
        <v>42189</v>
      </c>
      <c r="B45" s="485">
        <v>76177498</v>
      </c>
      <c r="C45" s="485">
        <f>ROUND((B45*(1.5%/365)),0)</f>
        <v>3131</v>
      </c>
      <c r="D45" s="485">
        <f t="shared" si="12"/>
        <v>545</v>
      </c>
      <c r="E45" s="485">
        <f t="shared" si="13"/>
        <v>501</v>
      </c>
      <c r="F45" s="485">
        <f>ROUND(((1/30*1%)/365*B45),0)</f>
        <v>70</v>
      </c>
      <c r="G45" s="485">
        <f t="shared" ref="G45:G72" si="18">ROUND((0/365),0)</f>
        <v>0</v>
      </c>
      <c r="H45" s="362">
        <v>75590131.25</v>
      </c>
      <c r="I45" s="485">
        <f t="shared" si="14"/>
        <v>1.5068493150684933E-4</v>
      </c>
      <c r="J45" s="485">
        <f>ROUND((H45*I45),0)</f>
        <v>11390</v>
      </c>
      <c r="K45" s="481">
        <v>75238131.25</v>
      </c>
      <c r="L45" s="482">
        <f t="shared" si="15"/>
        <v>11337.25265410959</v>
      </c>
    </row>
    <row r="46" spans="1:12">
      <c r="A46" s="490">
        <f t="shared" si="16"/>
        <v>42190</v>
      </c>
      <c r="B46" s="485">
        <v>76177498</v>
      </c>
      <c r="C46" s="485">
        <f>ROUND((B46*(1.5%/365)),0)</f>
        <v>3131</v>
      </c>
      <c r="D46" s="485">
        <f t="shared" si="12"/>
        <v>545</v>
      </c>
      <c r="E46" s="485">
        <f t="shared" si="13"/>
        <v>501</v>
      </c>
      <c r="F46" s="485">
        <f>ROUND(((1/30*1%)/365*B46),0)</f>
        <v>70</v>
      </c>
      <c r="G46" s="485">
        <f t="shared" si="18"/>
        <v>0</v>
      </c>
      <c r="H46" s="362">
        <v>75590131.25</v>
      </c>
      <c r="I46" s="485">
        <f t="shared" si="14"/>
        <v>1.5068493150684933E-4</v>
      </c>
      <c r="J46" s="485">
        <f>ROUND((H46*I46),0)</f>
        <v>11390</v>
      </c>
      <c r="K46" s="481">
        <v>75238131.25</v>
      </c>
      <c r="L46" s="482">
        <f t="shared" si="15"/>
        <v>11337.25265410959</v>
      </c>
    </row>
    <row r="47" spans="1:12">
      <c r="A47" s="490">
        <f t="shared" si="16"/>
        <v>42191</v>
      </c>
      <c r="B47" s="485">
        <v>76198405</v>
      </c>
      <c r="C47" s="485">
        <f t="shared" ref="C47:C72" si="19">ROUND((B47*(1.5%/365)),0)</f>
        <v>3131</v>
      </c>
      <c r="D47" s="485">
        <f t="shared" si="12"/>
        <v>545</v>
      </c>
      <c r="E47" s="485">
        <f t="shared" si="13"/>
        <v>501</v>
      </c>
      <c r="F47" s="485">
        <f t="shared" ref="F47:F72" si="20">ROUND(((1/30*1%)/365*B47),0)</f>
        <v>70</v>
      </c>
      <c r="G47" s="485">
        <v>849</v>
      </c>
      <c r="H47" s="362">
        <v>75590131.25</v>
      </c>
      <c r="I47" s="485">
        <f t="shared" si="14"/>
        <v>1.5068493150684933E-4</v>
      </c>
      <c r="J47" s="485">
        <f t="shared" ref="J47:J72" si="21">ROUND((H47*I47),0)</f>
        <v>11390</v>
      </c>
      <c r="K47" s="481">
        <v>75238131.25</v>
      </c>
      <c r="L47" s="482">
        <f t="shared" si="15"/>
        <v>11337.25265410959</v>
      </c>
    </row>
    <row r="48" spans="1:12">
      <c r="A48" s="490">
        <f t="shared" si="16"/>
        <v>42192</v>
      </c>
      <c r="B48" s="485"/>
      <c r="C48" s="485">
        <f t="shared" si="19"/>
        <v>0</v>
      </c>
      <c r="D48" s="485">
        <f t="shared" si="12"/>
        <v>0</v>
      </c>
      <c r="E48" s="485">
        <f t="shared" si="13"/>
        <v>0</v>
      </c>
      <c r="F48" s="485">
        <f t="shared" si="20"/>
        <v>0</v>
      </c>
      <c r="G48" s="485">
        <f t="shared" si="18"/>
        <v>0</v>
      </c>
      <c r="H48" s="485"/>
      <c r="I48" s="485">
        <f t="shared" si="14"/>
        <v>1.5068493150684933E-4</v>
      </c>
      <c r="J48" s="485">
        <f t="shared" si="21"/>
        <v>0</v>
      </c>
      <c r="K48" s="481">
        <v>75238131.25</v>
      </c>
      <c r="L48" s="482">
        <f t="shared" si="15"/>
        <v>11337.25265410959</v>
      </c>
    </row>
    <row r="49" spans="1:12">
      <c r="A49" s="490">
        <f t="shared" si="16"/>
        <v>42193</v>
      </c>
      <c r="B49" s="485"/>
      <c r="C49" s="485">
        <f t="shared" si="19"/>
        <v>0</v>
      </c>
      <c r="D49" s="485">
        <f t="shared" si="12"/>
        <v>0</v>
      </c>
      <c r="E49" s="485">
        <f t="shared" si="13"/>
        <v>0</v>
      </c>
      <c r="F49" s="485">
        <f t="shared" si="20"/>
        <v>0</v>
      </c>
      <c r="G49" s="485">
        <f t="shared" si="18"/>
        <v>0</v>
      </c>
      <c r="H49" s="485"/>
      <c r="I49" s="485">
        <f t="shared" si="14"/>
        <v>1.5068493150684933E-4</v>
      </c>
      <c r="J49" s="485">
        <f t="shared" si="21"/>
        <v>0</v>
      </c>
      <c r="K49" s="481">
        <v>75590131.25</v>
      </c>
      <c r="L49" s="482">
        <f t="shared" si="15"/>
        <v>11390.293750000001</v>
      </c>
    </row>
    <row r="50" spans="1:12">
      <c r="A50" s="490">
        <f t="shared" si="16"/>
        <v>42194</v>
      </c>
      <c r="B50" s="485"/>
      <c r="C50" s="485">
        <f t="shared" si="19"/>
        <v>0</v>
      </c>
      <c r="D50" s="485">
        <f t="shared" si="12"/>
        <v>0</v>
      </c>
      <c r="E50" s="485">
        <f t="shared" si="13"/>
        <v>0</v>
      </c>
      <c r="F50" s="485">
        <f t="shared" si="20"/>
        <v>0</v>
      </c>
      <c r="G50" s="485">
        <f t="shared" si="18"/>
        <v>0</v>
      </c>
      <c r="H50" s="485"/>
      <c r="I50" s="485">
        <f t="shared" si="14"/>
        <v>1.5068493150684933E-4</v>
      </c>
      <c r="J50" s="485">
        <f t="shared" si="21"/>
        <v>0</v>
      </c>
      <c r="K50" s="481">
        <v>75590131.25</v>
      </c>
      <c r="L50" s="482">
        <f t="shared" ref="L50" si="22">K50*I50</f>
        <v>11390.293750000001</v>
      </c>
    </row>
    <row r="51" spans="1:12">
      <c r="A51" s="490">
        <f t="shared" si="16"/>
        <v>42195</v>
      </c>
      <c r="B51" s="485"/>
      <c r="C51" s="485">
        <f t="shared" si="19"/>
        <v>0</v>
      </c>
      <c r="D51" s="485">
        <f t="shared" si="12"/>
        <v>0</v>
      </c>
      <c r="E51" s="485">
        <f t="shared" si="13"/>
        <v>0</v>
      </c>
      <c r="F51" s="485">
        <f t="shared" si="20"/>
        <v>0</v>
      </c>
      <c r="G51" s="485">
        <f t="shared" si="18"/>
        <v>0</v>
      </c>
      <c r="H51" s="485"/>
      <c r="I51" s="485">
        <f t="shared" si="14"/>
        <v>1.5068493150684933E-4</v>
      </c>
      <c r="J51" s="485">
        <f t="shared" si="21"/>
        <v>0</v>
      </c>
      <c r="L51" s="482"/>
    </row>
    <row r="52" spans="1:12">
      <c r="A52" s="490">
        <f t="shared" si="16"/>
        <v>42196</v>
      </c>
      <c r="B52" s="485"/>
      <c r="C52" s="485">
        <f t="shared" si="19"/>
        <v>0</v>
      </c>
      <c r="D52" s="485">
        <f t="shared" si="12"/>
        <v>0</v>
      </c>
      <c r="E52" s="485">
        <f t="shared" si="13"/>
        <v>0</v>
      </c>
      <c r="F52" s="485">
        <f t="shared" si="20"/>
        <v>0</v>
      </c>
      <c r="G52" s="485">
        <f t="shared" si="18"/>
        <v>0</v>
      </c>
      <c r="H52" s="485"/>
      <c r="I52" s="485">
        <f t="shared" si="14"/>
        <v>1.5068493150684933E-4</v>
      </c>
      <c r="J52" s="485">
        <f t="shared" si="21"/>
        <v>0</v>
      </c>
      <c r="L52" s="482"/>
    </row>
    <row r="53" spans="1:12">
      <c r="A53" s="490">
        <f t="shared" si="16"/>
        <v>42197</v>
      </c>
      <c r="B53" s="485"/>
      <c r="C53" s="485">
        <f t="shared" si="19"/>
        <v>0</v>
      </c>
      <c r="D53" s="485">
        <f t="shared" si="12"/>
        <v>0</v>
      </c>
      <c r="E53" s="485">
        <f t="shared" si="13"/>
        <v>0</v>
      </c>
      <c r="F53" s="485">
        <f t="shared" si="20"/>
        <v>0</v>
      </c>
      <c r="G53" s="485">
        <f t="shared" si="18"/>
        <v>0</v>
      </c>
      <c r="H53" s="485"/>
      <c r="I53" s="485">
        <f t="shared" si="14"/>
        <v>1.5068493150684933E-4</v>
      </c>
      <c r="J53" s="485">
        <f t="shared" si="21"/>
        <v>0</v>
      </c>
      <c r="L53" s="482"/>
    </row>
    <row r="54" spans="1:12">
      <c r="A54" s="490">
        <f t="shared" si="16"/>
        <v>42198</v>
      </c>
      <c r="B54" s="485"/>
      <c r="C54" s="485">
        <f t="shared" si="19"/>
        <v>0</v>
      </c>
      <c r="D54" s="485">
        <f t="shared" si="12"/>
        <v>0</v>
      </c>
      <c r="E54" s="485">
        <f t="shared" si="13"/>
        <v>0</v>
      </c>
      <c r="F54" s="485">
        <f t="shared" si="20"/>
        <v>0</v>
      </c>
      <c r="G54" s="485">
        <f t="shared" si="18"/>
        <v>0</v>
      </c>
      <c r="H54" s="485"/>
      <c r="I54" s="485">
        <f t="shared" si="14"/>
        <v>1.5068493150684933E-4</v>
      </c>
      <c r="J54" s="485">
        <f t="shared" si="21"/>
        <v>0</v>
      </c>
      <c r="L54" s="482"/>
    </row>
    <row r="55" spans="1:12">
      <c r="A55" s="490">
        <f t="shared" si="16"/>
        <v>42199</v>
      </c>
      <c r="B55" s="485"/>
      <c r="C55" s="485">
        <f t="shared" si="19"/>
        <v>0</v>
      </c>
      <c r="D55" s="485">
        <f t="shared" si="12"/>
        <v>0</v>
      </c>
      <c r="E55" s="485">
        <f t="shared" si="13"/>
        <v>0</v>
      </c>
      <c r="F55" s="485">
        <f t="shared" si="20"/>
        <v>0</v>
      </c>
      <c r="G55" s="485">
        <f t="shared" si="18"/>
        <v>0</v>
      </c>
      <c r="H55" s="485"/>
      <c r="I55" s="485">
        <f t="shared" si="14"/>
        <v>1.5068493150684933E-4</v>
      </c>
      <c r="J55" s="485">
        <f t="shared" si="21"/>
        <v>0</v>
      </c>
      <c r="L55" s="482"/>
    </row>
    <row r="56" spans="1:12">
      <c r="A56" s="490">
        <f t="shared" si="16"/>
        <v>42200</v>
      </c>
      <c r="B56" s="485"/>
      <c r="C56" s="485">
        <f t="shared" si="19"/>
        <v>0</v>
      </c>
      <c r="D56" s="485">
        <f t="shared" si="12"/>
        <v>0</v>
      </c>
      <c r="E56" s="485">
        <f t="shared" si="13"/>
        <v>0</v>
      </c>
      <c r="F56" s="485">
        <f t="shared" si="20"/>
        <v>0</v>
      </c>
      <c r="G56" s="485">
        <f t="shared" si="18"/>
        <v>0</v>
      </c>
      <c r="H56" s="485"/>
      <c r="I56" s="485">
        <f t="shared" si="14"/>
        <v>1.5068493150684933E-4</v>
      </c>
      <c r="J56" s="485">
        <f t="shared" si="21"/>
        <v>0</v>
      </c>
      <c r="L56" s="482"/>
    </row>
    <row r="57" spans="1:12">
      <c r="A57" s="490">
        <f t="shared" si="16"/>
        <v>42201</v>
      </c>
      <c r="B57" s="485"/>
      <c r="C57" s="485">
        <f t="shared" si="19"/>
        <v>0</v>
      </c>
      <c r="D57" s="485">
        <f t="shared" si="12"/>
        <v>0</v>
      </c>
      <c r="E57" s="485">
        <f t="shared" si="13"/>
        <v>0</v>
      </c>
      <c r="F57" s="485">
        <f t="shared" si="20"/>
        <v>0</v>
      </c>
      <c r="G57" s="485">
        <f t="shared" si="18"/>
        <v>0</v>
      </c>
      <c r="H57" s="485"/>
      <c r="I57" s="485">
        <f t="shared" si="14"/>
        <v>1.5068493150684933E-4</v>
      </c>
      <c r="J57" s="485">
        <f t="shared" si="21"/>
        <v>0</v>
      </c>
      <c r="L57" s="482"/>
    </row>
    <row r="58" spans="1:12">
      <c r="A58" s="490">
        <f t="shared" si="16"/>
        <v>42202</v>
      </c>
      <c r="B58" s="485"/>
      <c r="C58" s="485">
        <f t="shared" si="19"/>
        <v>0</v>
      </c>
      <c r="D58" s="485">
        <f t="shared" si="12"/>
        <v>0</v>
      </c>
      <c r="E58" s="485">
        <f t="shared" si="13"/>
        <v>0</v>
      </c>
      <c r="F58" s="485">
        <f t="shared" si="20"/>
        <v>0</v>
      </c>
      <c r="G58" s="485">
        <f t="shared" si="18"/>
        <v>0</v>
      </c>
      <c r="H58" s="485"/>
      <c r="I58" s="485">
        <f t="shared" si="14"/>
        <v>1.5068493150684933E-4</v>
      </c>
      <c r="J58" s="485">
        <f t="shared" si="21"/>
        <v>0</v>
      </c>
      <c r="L58" s="482"/>
    </row>
    <row r="59" spans="1:12">
      <c r="A59" s="490">
        <f t="shared" si="16"/>
        <v>42203</v>
      </c>
      <c r="B59" s="485"/>
      <c r="C59" s="485">
        <f t="shared" si="19"/>
        <v>0</v>
      </c>
      <c r="D59" s="485">
        <f t="shared" si="12"/>
        <v>0</v>
      </c>
      <c r="E59" s="485">
        <f t="shared" si="13"/>
        <v>0</v>
      </c>
      <c r="F59" s="485">
        <f t="shared" si="20"/>
        <v>0</v>
      </c>
      <c r="G59" s="485">
        <f t="shared" si="18"/>
        <v>0</v>
      </c>
      <c r="H59" s="485"/>
      <c r="I59" s="485">
        <f t="shared" si="14"/>
        <v>1.5068493150684933E-4</v>
      </c>
      <c r="J59" s="485">
        <f t="shared" si="21"/>
        <v>0</v>
      </c>
      <c r="L59" s="482"/>
    </row>
    <row r="60" spans="1:12">
      <c r="A60" s="490">
        <f t="shared" si="16"/>
        <v>42204</v>
      </c>
      <c r="B60" s="485"/>
      <c r="C60" s="485">
        <f t="shared" si="19"/>
        <v>0</v>
      </c>
      <c r="D60" s="485">
        <f t="shared" si="12"/>
        <v>0</v>
      </c>
      <c r="E60" s="485">
        <f t="shared" si="13"/>
        <v>0</v>
      </c>
      <c r="F60" s="485">
        <f t="shared" si="20"/>
        <v>0</v>
      </c>
      <c r="G60" s="485">
        <f t="shared" si="18"/>
        <v>0</v>
      </c>
      <c r="H60" s="485"/>
      <c r="I60" s="485">
        <f t="shared" si="14"/>
        <v>1.5068493150684933E-4</v>
      </c>
      <c r="J60" s="485">
        <f t="shared" si="21"/>
        <v>0</v>
      </c>
      <c r="L60" s="482"/>
    </row>
    <row r="61" spans="1:12">
      <c r="A61" s="490">
        <f t="shared" si="16"/>
        <v>42205</v>
      </c>
      <c r="B61" s="485"/>
      <c r="C61" s="485">
        <f t="shared" si="19"/>
        <v>0</v>
      </c>
      <c r="D61" s="485">
        <f t="shared" si="12"/>
        <v>0</v>
      </c>
      <c r="E61" s="485">
        <f t="shared" si="13"/>
        <v>0</v>
      </c>
      <c r="F61" s="485">
        <f t="shared" si="20"/>
        <v>0</v>
      </c>
      <c r="G61" s="485">
        <f t="shared" si="18"/>
        <v>0</v>
      </c>
      <c r="H61" s="485"/>
      <c r="I61" s="485">
        <f t="shared" si="14"/>
        <v>1.5068493150684933E-4</v>
      </c>
      <c r="J61" s="485">
        <f t="shared" si="21"/>
        <v>0</v>
      </c>
      <c r="L61" s="482"/>
    </row>
    <row r="62" spans="1:12">
      <c r="A62" s="490">
        <f t="shared" si="16"/>
        <v>42206</v>
      </c>
      <c r="B62" s="485"/>
      <c r="C62" s="485">
        <f t="shared" si="19"/>
        <v>0</v>
      </c>
      <c r="D62" s="485">
        <f t="shared" si="12"/>
        <v>0</v>
      </c>
      <c r="E62" s="485">
        <f t="shared" si="13"/>
        <v>0</v>
      </c>
      <c r="F62" s="485">
        <f t="shared" si="20"/>
        <v>0</v>
      </c>
      <c r="G62" s="485">
        <f t="shared" si="18"/>
        <v>0</v>
      </c>
      <c r="H62" s="485"/>
      <c r="I62" s="485">
        <f t="shared" si="14"/>
        <v>1.5068493150684933E-4</v>
      </c>
      <c r="J62" s="485">
        <f t="shared" si="21"/>
        <v>0</v>
      </c>
      <c r="L62" s="482"/>
    </row>
    <row r="63" spans="1:12">
      <c r="A63" s="490">
        <f t="shared" si="16"/>
        <v>42207</v>
      </c>
      <c r="B63" s="485"/>
      <c r="C63" s="485">
        <f t="shared" si="19"/>
        <v>0</v>
      </c>
      <c r="D63" s="485">
        <f t="shared" si="12"/>
        <v>0</v>
      </c>
      <c r="E63" s="485">
        <f t="shared" si="13"/>
        <v>0</v>
      </c>
      <c r="F63" s="485">
        <f t="shared" si="20"/>
        <v>0</v>
      </c>
      <c r="G63" s="485">
        <f t="shared" si="18"/>
        <v>0</v>
      </c>
      <c r="H63" s="485"/>
      <c r="I63" s="485">
        <f t="shared" si="14"/>
        <v>1.5068493150684933E-4</v>
      </c>
      <c r="J63" s="485">
        <f t="shared" si="21"/>
        <v>0</v>
      </c>
      <c r="L63" s="482"/>
    </row>
    <row r="64" spans="1:12">
      <c r="A64" s="490">
        <f t="shared" si="16"/>
        <v>42208</v>
      </c>
      <c r="B64" s="485"/>
      <c r="C64" s="485">
        <f t="shared" si="19"/>
        <v>0</v>
      </c>
      <c r="D64" s="485">
        <f t="shared" si="12"/>
        <v>0</v>
      </c>
      <c r="E64" s="485">
        <f t="shared" si="13"/>
        <v>0</v>
      </c>
      <c r="F64" s="485">
        <f t="shared" si="20"/>
        <v>0</v>
      </c>
      <c r="G64" s="485">
        <f t="shared" si="18"/>
        <v>0</v>
      </c>
      <c r="H64" s="485"/>
      <c r="I64" s="485">
        <f t="shared" si="14"/>
        <v>1.5068493150684933E-4</v>
      </c>
      <c r="J64" s="485">
        <f t="shared" si="21"/>
        <v>0</v>
      </c>
      <c r="L64" s="482"/>
    </row>
    <row r="65" spans="1:12">
      <c r="A65" s="490">
        <f t="shared" si="16"/>
        <v>42209</v>
      </c>
      <c r="B65" s="485"/>
      <c r="C65" s="485">
        <f t="shared" si="19"/>
        <v>0</v>
      </c>
      <c r="D65" s="485">
        <f t="shared" si="12"/>
        <v>0</v>
      </c>
      <c r="E65" s="485">
        <f t="shared" si="13"/>
        <v>0</v>
      </c>
      <c r="F65" s="485">
        <f t="shared" si="20"/>
        <v>0</v>
      </c>
      <c r="G65" s="485">
        <f t="shared" si="18"/>
        <v>0</v>
      </c>
      <c r="H65" s="485"/>
      <c r="I65" s="485">
        <f t="shared" si="14"/>
        <v>1.5068493150684933E-4</v>
      </c>
      <c r="J65" s="485">
        <f t="shared" si="21"/>
        <v>0</v>
      </c>
      <c r="L65" s="482"/>
    </row>
    <row r="66" spans="1:12">
      <c r="A66" s="490">
        <f t="shared" si="16"/>
        <v>42210</v>
      </c>
      <c r="B66" s="485"/>
      <c r="C66" s="485">
        <f t="shared" si="19"/>
        <v>0</v>
      </c>
      <c r="D66" s="485">
        <f t="shared" si="12"/>
        <v>0</v>
      </c>
      <c r="E66" s="485">
        <f t="shared" si="13"/>
        <v>0</v>
      </c>
      <c r="F66" s="485">
        <f t="shared" si="20"/>
        <v>0</v>
      </c>
      <c r="G66" s="485">
        <f t="shared" si="18"/>
        <v>0</v>
      </c>
      <c r="H66" s="485"/>
      <c r="I66" s="485">
        <f t="shared" si="14"/>
        <v>1.5068493150684933E-4</v>
      </c>
      <c r="J66" s="485">
        <f t="shared" si="21"/>
        <v>0</v>
      </c>
      <c r="L66" s="482"/>
    </row>
    <row r="67" spans="1:12">
      <c r="A67" s="490">
        <f t="shared" si="16"/>
        <v>42211</v>
      </c>
      <c r="B67" s="485"/>
      <c r="C67" s="485">
        <f t="shared" si="19"/>
        <v>0</v>
      </c>
      <c r="D67" s="485">
        <f t="shared" si="12"/>
        <v>0</v>
      </c>
      <c r="E67" s="485">
        <f t="shared" si="13"/>
        <v>0</v>
      </c>
      <c r="F67" s="485">
        <f t="shared" si="20"/>
        <v>0</v>
      </c>
      <c r="G67" s="485">
        <f t="shared" si="18"/>
        <v>0</v>
      </c>
      <c r="H67" s="485"/>
      <c r="I67" s="485">
        <f t="shared" si="14"/>
        <v>1.5068493150684933E-4</v>
      </c>
      <c r="J67" s="485">
        <f t="shared" si="21"/>
        <v>0</v>
      </c>
      <c r="L67" s="482"/>
    </row>
    <row r="68" spans="1:12">
      <c r="A68" s="490">
        <f t="shared" si="16"/>
        <v>42212</v>
      </c>
      <c r="B68" s="485"/>
      <c r="C68" s="485">
        <f t="shared" si="19"/>
        <v>0</v>
      </c>
      <c r="D68" s="485">
        <f t="shared" si="12"/>
        <v>0</v>
      </c>
      <c r="E68" s="485">
        <f t="shared" si="13"/>
        <v>0</v>
      </c>
      <c r="F68" s="485">
        <f t="shared" si="20"/>
        <v>0</v>
      </c>
      <c r="G68" s="485">
        <f t="shared" si="18"/>
        <v>0</v>
      </c>
      <c r="H68" s="485"/>
      <c r="I68" s="485">
        <f t="shared" si="14"/>
        <v>1.5068493150684933E-4</v>
      </c>
      <c r="J68" s="485">
        <f t="shared" si="21"/>
        <v>0</v>
      </c>
      <c r="L68" s="482"/>
    </row>
    <row r="69" spans="1:12">
      <c r="A69" s="490">
        <f t="shared" si="16"/>
        <v>42213</v>
      </c>
      <c r="B69" s="485"/>
      <c r="C69" s="485">
        <f t="shared" si="19"/>
        <v>0</v>
      </c>
      <c r="D69" s="485">
        <f t="shared" si="12"/>
        <v>0</v>
      </c>
      <c r="E69" s="485">
        <f t="shared" si="13"/>
        <v>0</v>
      </c>
      <c r="F69" s="485">
        <f t="shared" si="20"/>
        <v>0</v>
      </c>
      <c r="G69" s="485">
        <f t="shared" si="18"/>
        <v>0</v>
      </c>
      <c r="H69" s="485"/>
      <c r="I69" s="485">
        <f t="shared" si="14"/>
        <v>1.5068493150684933E-4</v>
      </c>
      <c r="J69" s="485">
        <f t="shared" si="21"/>
        <v>0</v>
      </c>
      <c r="L69" s="482"/>
    </row>
    <row r="70" spans="1:12">
      <c r="A70" s="490">
        <f t="shared" si="16"/>
        <v>42214</v>
      </c>
      <c r="B70" s="485"/>
      <c r="C70" s="485">
        <f t="shared" si="19"/>
        <v>0</v>
      </c>
      <c r="D70" s="485">
        <f t="shared" si="12"/>
        <v>0</v>
      </c>
      <c r="E70" s="485">
        <f t="shared" si="13"/>
        <v>0</v>
      </c>
      <c r="F70" s="485">
        <f t="shared" si="20"/>
        <v>0</v>
      </c>
      <c r="G70" s="485">
        <f t="shared" si="18"/>
        <v>0</v>
      </c>
      <c r="H70" s="485"/>
      <c r="I70" s="485">
        <f t="shared" si="14"/>
        <v>1.5068493150684933E-4</v>
      </c>
      <c r="J70" s="485">
        <f t="shared" si="21"/>
        <v>0</v>
      </c>
      <c r="L70" s="482"/>
    </row>
    <row r="71" spans="1:12">
      <c r="A71" s="490">
        <f t="shared" si="16"/>
        <v>42215</v>
      </c>
      <c r="B71" s="485"/>
      <c r="C71" s="485">
        <f t="shared" si="19"/>
        <v>0</v>
      </c>
      <c r="D71" s="485">
        <f t="shared" si="12"/>
        <v>0</v>
      </c>
      <c r="E71" s="485">
        <f t="shared" si="13"/>
        <v>0</v>
      </c>
      <c r="F71" s="485">
        <f t="shared" si="20"/>
        <v>0</v>
      </c>
      <c r="G71" s="485">
        <f t="shared" si="18"/>
        <v>0</v>
      </c>
      <c r="H71" s="485"/>
      <c r="I71" s="485">
        <f t="shared" si="14"/>
        <v>1.5068493150684933E-4</v>
      </c>
      <c r="J71" s="485">
        <f t="shared" si="21"/>
        <v>0</v>
      </c>
      <c r="L71" s="482"/>
    </row>
    <row r="72" spans="1:12">
      <c r="A72" s="490">
        <f t="shared" si="16"/>
        <v>42216</v>
      </c>
      <c r="B72" s="485"/>
      <c r="C72" s="485">
        <f t="shared" si="19"/>
        <v>0</v>
      </c>
      <c r="D72" s="485">
        <f t="shared" si="12"/>
        <v>0</v>
      </c>
      <c r="E72" s="485">
        <f t="shared" si="13"/>
        <v>0</v>
      </c>
      <c r="F72" s="485">
        <f t="shared" si="20"/>
        <v>0</v>
      </c>
      <c r="G72" s="485">
        <f t="shared" si="18"/>
        <v>0</v>
      </c>
      <c r="H72" s="485"/>
      <c r="I72" s="485">
        <f t="shared" si="14"/>
        <v>1.5068493150684933E-4</v>
      </c>
      <c r="J72" s="485">
        <f t="shared" si="21"/>
        <v>0</v>
      </c>
      <c r="L72" s="482"/>
    </row>
    <row r="73" spans="1:12">
      <c r="B73" s="485"/>
      <c r="C73" s="485"/>
      <c r="D73" s="485"/>
      <c r="E73" s="485"/>
      <c r="F73" s="485"/>
      <c r="G73" s="485"/>
      <c r="H73" s="485"/>
      <c r="I73" s="485"/>
      <c r="J73" s="485"/>
    </row>
    <row r="74" spans="1:12">
      <c r="A74" s="481" t="s">
        <v>215</v>
      </c>
      <c r="B74" s="485"/>
      <c r="C74" s="487">
        <f>SUM(C42:C73)</f>
        <v>18769</v>
      </c>
      <c r="D74" s="487">
        <f>SUM(D42:D73)</f>
        <v>3193</v>
      </c>
      <c r="E74" s="487">
        <f>SUM(E42:E73)</f>
        <v>3003</v>
      </c>
      <c r="F74" s="487">
        <f>SUM(F42:F73)</f>
        <v>419</v>
      </c>
      <c r="G74" s="487">
        <f>SUM(G42:G73)</f>
        <v>1671</v>
      </c>
      <c r="H74" s="487"/>
      <c r="I74" s="487"/>
      <c r="J74" s="487">
        <f>SUM(J42:J73)</f>
        <v>68384</v>
      </c>
      <c r="K74" s="481">
        <f>34214</f>
        <v>34214</v>
      </c>
      <c r="L74" s="482">
        <f>SUM(L42:L73)</f>
        <v>170164.87200342468</v>
      </c>
    </row>
    <row r="75" spans="1:12">
      <c r="K75" s="483">
        <f>J74-K74</f>
        <v>34170</v>
      </c>
      <c r="L75" s="482">
        <f>L74-J74</f>
        <v>101780.87200342468</v>
      </c>
    </row>
    <row r="76" spans="1:12">
      <c r="J76" s="483"/>
    </row>
    <row r="77" spans="1:12">
      <c r="A77" s="481" t="s">
        <v>270</v>
      </c>
    </row>
    <row r="78" spans="1:12">
      <c r="B78" s="481" t="s">
        <v>18</v>
      </c>
      <c r="C78" s="481" t="s">
        <v>271</v>
      </c>
      <c r="D78" s="484" t="s">
        <v>272</v>
      </c>
      <c r="E78" s="484" t="s">
        <v>223</v>
      </c>
      <c r="F78" s="484" t="s">
        <v>274</v>
      </c>
      <c r="G78" s="484" t="s">
        <v>273</v>
      </c>
      <c r="H78" s="484" t="s">
        <v>275</v>
      </c>
    </row>
    <row r="79" spans="1:12">
      <c r="A79" s="489">
        <v>42186</v>
      </c>
      <c r="B79" s="485">
        <v>78635592</v>
      </c>
      <c r="C79" s="485">
        <f>ROUND((B79*(1.5%/365)),0)</f>
        <v>3232</v>
      </c>
      <c r="D79" s="485">
        <f t="shared" ref="D79:D109" si="23">ROUND((C79*0.174),0)</f>
        <v>562</v>
      </c>
      <c r="E79" s="485">
        <f t="shared" ref="E79:E109" si="24">ROUND((C79*0.16),0)</f>
        <v>517</v>
      </c>
      <c r="F79" s="485">
        <f>ROUND(((1/30*1%)/365*B79),0)</f>
        <v>72</v>
      </c>
      <c r="G79" s="485">
        <f>ROUND((300000/365),0)/3</f>
        <v>274</v>
      </c>
      <c r="H79" s="485">
        <v>78561800</v>
      </c>
      <c r="I79" s="485">
        <f t="shared" ref="I79:I109" si="25">5.5%/365</f>
        <v>1.5068493150684933E-4</v>
      </c>
      <c r="J79" s="485">
        <f>ROUND((H79*I79),0)</f>
        <v>11838</v>
      </c>
      <c r="K79" s="481">
        <f>75004831.25</f>
        <v>75004831.25</v>
      </c>
      <c r="L79" s="482">
        <f>K79*I79*7</f>
        <v>79114.685017123295</v>
      </c>
    </row>
    <row r="80" spans="1:12">
      <c r="A80" s="490">
        <f>A79+1</f>
        <v>42187</v>
      </c>
      <c r="B80" s="485">
        <v>78643322</v>
      </c>
      <c r="C80" s="485">
        <f>ROUND((B80*(1.5%/365)),0)</f>
        <v>3232</v>
      </c>
      <c r="D80" s="485">
        <f>ROUND((C80*0.1624),0)</f>
        <v>525</v>
      </c>
      <c r="E80" s="485">
        <f t="shared" si="24"/>
        <v>517</v>
      </c>
      <c r="F80" s="485">
        <f>ROUND(((1/30*1%)/365*B80),0)</f>
        <v>72</v>
      </c>
      <c r="G80" s="485">
        <f>ROUND((300000/365),0)/3</f>
        <v>274</v>
      </c>
      <c r="H80" s="485">
        <v>78561800</v>
      </c>
      <c r="I80" s="485">
        <f t="shared" si="25"/>
        <v>1.5068493150684933E-4</v>
      </c>
      <c r="J80" s="485">
        <f>ROUND((H80*I80),0)</f>
        <v>11838</v>
      </c>
      <c r="K80" s="481">
        <f>75004831.25</f>
        <v>75004831.25</v>
      </c>
      <c r="L80" s="482">
        <f t="shared" ref="L80:L87" si="26">K80*I80</f>
        <v>11302.097859589041</v>
      </c>
    </row>
    <row r="81" spans="1:12">
      <c r="A81" s="490">
        <f t="shared" ref="A81:A109" si="27">A80+1</f>
        <v>42188</v>
      </c>
      <c r="B81" s="485">
        <v>78653037</v>
      </c>
      <c r="C81" s="485">
        <f>ROUND((B81*(1.5%/365)),0)</f>
        <v>3232</v>
      </c>
      <c r="D81" s="485">
        <f>ROUND((C81*0.1624),0)</f>
        <v>525</v>
      </c>
      <c r="E81" s="485">
        <f t="shared" ref="E81" si="28">ROUND((C81*0.16),0)</f>
        <v>517</v>
      </c>
      <c r="F81" s="485">
        <f>ROUND(((1/30*1%)/365*B81),0)</f>
        <v>72</v>
      </c>
      <c r="G81" s="485">
        <f>ROUND((300000/365),0)/3</f>
        <v>274</v>
      </c>
      <c r="H81" s="485">
        <v>78540131.25</v>
      </c>
      <c r="I81" s="485">
        <f t="shared" si="25"/>
        <v>1.5068493150684933E-4</v>
      </c>
      <c r="J81" s="485">
        <f>ROUND((H81*I81),0)</f>
        <v>11835</v>
      </c>
      <c r="K81" s="481">
        <f>78540131.25</f>
        <v>78540131.25</v>
      </c>
      <c r="L81" s="482">
        <f t="shared" si="26"/>
        <v>11834.814297945206</v>
      </c>
    </row>
    <row r="82" spans="1:12">
      <c r="A82" s="490">
        <f t="shared" si="27"/>
        <v>42189</v>
      </c>
      <c r="B82" s="485">
        <v>78653037</v>
      </c>
      <c r="C82" s="485">
        <f>ROUND((B82*(1.5%/365)),0)</f>
        <v>3232</v>
      </c>
      <c r="D82" s="485">
        <f t="shared" si="23"/>
        <v>562</v>
      </c>
      <c r="E82" s="485">
        <f t="shared" si="24"/>
        <v>517</v>
      </c>
      <c r="F82" s="485">
        <f>ROUND(((1/30*1%)/365*B82),0)</f>
        <v>72</v>
      </c>
      <c r="G82" s="485">
        <f t="shared" ref="G82:G109" si="29">ROUND((0/365),0)</f>
        <v>0</v>
      </c>
      <c r="H82" s="362">
        <v>78540131.25</v>
      </c>
      <c r="I82" s="485">
        <f t="shared" si="25"/>
        <v>1.5068493150684933E-4</v>
      </c>
      <c r="J82" s="485">
        <f>ROUND((H82*I82),0)</f>
        <v>11835</v>
      </c>
      <c r="K82" s="481">
        <f t="shared" ref="K82:K87" si="30">78540131.25</f>
        <v>78540131.25</v>
      </c>
      <c r="L82" s="482">
        <f t="shared" si="26"/>
        <v>11834.814297945206</v>
      </c>
    </row>
    <row r="83" spans="1:12">
      <c r="A83" s="490">
        <f t="shared" si="27"/>
        <v>42190</v>
      </c>
      <c r="B83" s="485">
        <v>78653037</v>
      </c>
      <c r="C83" s="485">
        <f>ROUND((B83*(1.5%/365)),0)</f>
        <v>3232</v>
      </c>
      <c r="D83" s="485">
        <f t="shared" si="23"/>
        <v>562</v>
      </c>
      <c r="E83" s="485">
        <f t="shared" si="24"/>
        <v>517</v>
      </c>
      <c r="F83" s="485">
        <f>ROUND(((1/30*1%)/365*B83),0)</f>
        <v>72</v>
      </c>
      <c r="G83" s="485">
        <f t="shared" si="29"/>
        <v>0</v>
      </c>
      <c r="H83" s="362">
        <v>78540131.25</v>
      </c>
      <c r="I83" s="485">
        <f t="shared" si="25"/>
        <v>1.5068493150684933E-4</v>
      </c>
      <c r="J83" s="485">
        <f>ROUND((H83*I83),0)</f>
        <v>11835</v>
      </c>
      <c r="K83" s="481">
        <f t="shared" si="30"/>
        <v>78540131.25</v>
      </c>
      <c r="L83" s="482">
        <f t="shared" si="26"/>
        <v>11834.814297945206</v>
      </c>
    </row>
    <row r="84" spans="1:12">
      <c r="A84" s="490">
        <f t="shared" si="27"/>
        <v>42191</v>
      </c>
      <c r="B84" s="485">
        <v>78669731</v>
      </c>
      <c r="C84" s="485">
        <f t="shared" ref="C84:C109" si="31">ROUND((B84*(1.5%/365)),0)</f>
        <v>3233</v>
      </c>
      <c r="D84" s="485">
        <f t="shared" si="23"/>
        <v>563</v>
      </c>
      <c r="E84" s="485">
        <f t="shared" si="24"/>
        <v>517</v>
      </c>
      <c r="F84" s="485">
        <f t="shared" ref="F84:F109" si="32">ROUND(((1/30*1%)/365*B84),0)</f>
        <v>72</v>
      </c>
      <c r="G84" s="485">
        <v>859</v>
      </c>
      <c r="H84" s="362">
        <v>78540131.25</v>
      </c>
      <c r="I84" s="485">
        <f t="shared" si="25"/>
        <v>1.5068493150684933E-4</v>
      </c>
      <c r="J84" s="485">
        <f t="shared" ref="J84:J109" si="33">ROUND((H84*I84),0)</f>
        <v>11835</v>
      </c>
      <c r="K84" s="481">
        <f t="shared" si="30"/>
        <v>78540131.25</v>
      </c>
      <c r="L84" s="482">
        <f t="shared" si="26"/>
        <v>11834.814297945206</v>
      </c>
    </row>
    <row r="85" spans="1:12">
      <c r="A85" s="490">
        <f t="shared" si="27"/>
        <v>42192</v>
      </c>
      <c r="B85" s="485"/>
      <c r="C85" s="485">
        <f t="shared" si="31"/>
        <v>0</v>
      </c>
      <c r="D85" s="485">
        <f t="shared" si="23"/>
        <v>0</v>
      </c>
      <c r="E85" s="485">
        <f t="shared" si="24"/>
        <v>0</v>
      </c>
      <c r="F85" s="485">
        <f t="shared" si="32"/>
        <v>0</v>
      </c>
      <c r="G85" s="485">
        <f t="shared" si="29"/>
        <v>0</v>
      </c>
      <c r="H85" s="485"/>
      <c r="I85" s="485">
        <f t="shared" si="25"/>
        <v>1.5068493150684933E-4</v>
      </c>
      <c r="J85" s="485">
        <f t="shared" si="33"/>
        <v>0</v>
      </c>
      <c r="K85" s="481">
        <f t="shared" si="30"/>
        <v>78540131.25</v>
      </c>
      <c r="L85" s="482">
        <f t="shared" si="26"/>
        <v>11834.814297945206</v>
      </c>
    </row>
    <row r="86" spans="1:12">
      <c r="A86" s="490">
        <f t="shared" si="27"/>
        <v>42193</v>
      </c>
      <c r="B86" s="485"/>
      <c r="C86" s="485">
        <f t="shared" si="31"/>
        <v>0</v>
      </c>
      <c r="D86" s="485">
        <f t="shared" si="23"/>
        <v>0</v>
      </c>
      <c r="E86" s="485">
        <f t="shared" si="24"/>
        <v>0</v>
      </c>
      <c r="F86" s="485">
        <f t="shared" si="32"/>
        <v>0</v>
      </c>
      <c r="G86" s="485">
        <f t="shared" si="29"/>
        <v>0</v>
      </c>
      <c r="H86" s="485"/>
      <c r="I86" s="485">
        <f t="shared" si="25"/>
        <v>1.5068493150684933E-4</v>
      </c>
      <c r="J86" s="485">
        <f t="shared" si="33"/>
        <v>0</v>
      </c>
      <c r="K86" s="481">
        <f t="shared" si="30"/>
        <v>78540131.25</v>
      </c>
      <c r="L86" s="482">
        <f t="shared" si="26"/>
        <v>11834.814297945206</v>
      </c>
    </row>
    <row r="87" spans="1:12">
      <c r="A87" s="490">
        <f t="shared" si="27"/>
        <v>42194</v>
      </c>
      <c r="B87" s="485"/>
      <c r="C87" s="485">
        <f t="shared" si="31"/>
        <v>0</v>
      </c>
      <c r="D87" s="485">
        <f t="shared" si="23"/>
        <v>0</v>
      </c>
      <c r="E87" s="485">
        <f t="shared" si="24"/>
        <v>0</v>
      </c>
      <c r="F87" s="485">
        <f t="shared" si="32"/>
        <v>0</v>
      </c>
      <c r="G87" s="485">
        <f t="shared" si="29"/>
        <v>0</v>
      </c>
      <c r="H87" s="485"/>
      <c r="I87" s="485">
        <f t="shared" si="25"/>
        <v>1.5068493150684933E-4</v>
      </c>
      <c r="J87" s="485">
        <f t="shared" si="33"/>
        <v>0</v>
      </c>
      <c r="K87" s="481">
        <f t="shared" si="30"/>
        <v>78540131.25</v>
      </c>
      <c r="L87" s="482">
        <f t="shared" si="26"/>
        <v>11834.814297945206</v>
      </c>
    </row>
    <row r="88" spans="1:12">
      <c r="A88" s="490">
        <f t="shared" si="27"/>
        <v>42195</v>
      </c>
      <c r="B88" s="485"/>
      <c r="C88" s="485">
        <f t="shared" si="31"/>
        <v>0</v>
      </c>
      <c r="D88" s="485">
        <f t="shared" si="23"/>
        <v>0</v>
      </c>
      <c r="E88" s="485">
        <f t="shared" si="24"/>
        <v>0</v>
      </c>
      <c r="F88" s="485">
        <f t="shared" si="32"/>
        <v>0</v>
      </c>
      <c r="G88" s="485">
        <f t="shared" si="29"/>
        <v>0</v>
      </c>
      <c r="H88" s="485"/>
      <c r="I88" s="485">
        <f t="shared" si="25"/>
        <v>1.5068493150684933E-4</v>
      </c>
      <c r="J88" s="485">
        <f t="shared" si="33"/>
        <v>0</v>
      </c>
      <c r="L88" s="482"/>
    </row>
    <row r="89" spans="1:12">
      <c r="A89" s="490">
        <f t="shared" si="27"/>
        <v>42196</v>
      </c>
      <c r="B89" s="485"/>
      <c r="C89" s="485">
        <f t="shared" si="31"/>
        <v>0</v>
      </c>
      <c r="D89" s="485">
        <f t="shared" si="23"/>
        <v>0</v>
      </c>
      <c r="E89" s="485">
        <f t="shared" si="24"/>
        <v>0</v>
      </c>
      <c r="F89" s="485">
        <f t="shared" si="32"/>
        <v>0</v>
      </c>
      <c r="G89" s="485">
        <f t="shared" si="29"/>
        <v>0</v>
      </c>
      <c r="H89" s="485"/>
      <c r="I89" s="485">
        <f t="shared" si="25"/>
        <v>1.5068493150684933E-4</v>
      </c>
      <c r="J89" s="485">
        <f t="shared" si="33"/>
        <v>0</v>
      </c>
      <c r="L89" s="482"/>
    </row>
    <row r="90" spans="1:12">
      <c r="A90" s="490">
        <f t="shared" si="27"/>
        <v>42197</v>
      </c>
      <c r="B90" s="485"/>
      <c r="C90" s="485">
        <f t="shared" si="31"/>
        <v>0</v>
      </c>
      <c r="D90" s="485">
        <f t="shared" si="23"/>
        <v>0</v>
      </c>
      <c r="E90" s="485">
        <f t="shared" si="24"/>
        <v>0</v>
      </c>
      <c r="F90" s="485">
        <f t="shared" si="32"/>
        <v>0</v>
      </c>
      <c r="G90" s="485">
        <f t="shared" si="29"/>
        <v>0</v>
      </c>
      <c r="H90" s="485"/>
      <c r="I90" s="485">
        <f t="shared" si="25"/>
        <v>1.5068493150684933E-4</v>
      </c>
      <c r="J90" s="485">
        <f t="shared" si="33"/>
        <v>0</v>
      </c>
      <c r="L90" s="482"/>
    </row>
    <row r="91" spans="1:12">
      <c r="A91" s="490">
        <f t="shared" si="27"/>
        <v>42198</v>
      </c>
      <c r="B91" s="485"/>
      <c r="C91" s="485">
        <f t="shared" si="31"/>
        <v>0</v>
      </c>
      <c r="D91" s="485">
        <f t="shared" si="23"/>
        <v>0</v>
      </c>
      <c r="E91" s="485">
        <f t="shared" si="24"/>
        <v>0</v>
      </c>
      <c r="F91" s="485">
        <f t="shared" si="32"/>
        <v>0</v>
      </c>
      <c r="G91" s="485">
        <f t="shared" si="29"/>
        <v>0</v>
      </c>
      <c r="H91" s="485"/>
      <c r="I91" s="485">
        <f t="shared" si="25"/>
        <v>1.5068493150684933E-4</v>
      </c>
      <c r="J91" s="485">
        <f t="shared" si="33"/>
        <v>0</v>
      </c>
      <c r="L91" s="482"/>
    </row>
    <row r="92" spans="1:12">
      <c r="A92" s="490">
        <f t="shared" si="27"/>
        <v>42199</v>
      </c>
      <c r="B92" s="485"/>
      <c r="C92" s="485">
        <f t="shared" si="31"/>
        <v>0</v>
      </c>
      <c r="D92" s="485">
        <f t="shared" si="23"/>
        <v>0</v>
      </c>
      <c r="E92" s="485">
        <f t="shared" si="24"/>
        <v>0</v>
      </c>
      <c r="F92" s="485">
        <f t="shared" si="32"/>
        <v>0</v>
      </c>
      <c r="G92" s="485">
        <f t="shared" si="29"/>
        <v>0</v>
      </c>
      <c r="H92" s="485"/>
      <c r="I92" s="485">
        <f t="shared" si="25"/>
        <v>1.5068493150684933E-4</v>
      </c>
      <c r="J92" s="485">
        <f t="shared" si="33"/>
        <v>0</v>
      </c>
      <c r="L92" s="482"/>
    </row>
    <row r="93" spans="1:12">
      <c r="A93" s="490">
        <f t="shared" si="27"/>
        <v>42200</v>
      </c>
      <c r="B93" s="485"/>
      <c r="C93" s="485">
        <f t="shared" si="31"/>
        <v>0</v>
      </c>
      <c r="D93" s="485">
        <f t="shared" si="23"/>
        <v>0</v>
      </c>
      <c r="E93" s="485">
        <f t="shared" si="24"/>
        <v>0</v>
      </c>
      <c r="F93" s="485">
        <f t="shared" si="32"/>
        <v>0</v>
      </c>
      <c r="G93" s="485">
        <f t="shared" si="29"/>
        <v>0</v>
      </c>
      <c r="H93" s="485"/>
      <c r="I93" s="485">
        <f t="shared" si="25"/>
        <v>1.5068493150684933E-4</v>
      </c>
      <c r="J93" s="485">
        <f t="shared" si="33"/>
        <v>0</v>
      </c>
      <c r="L93" s="482"/>
    </row>
    <row r="94" spans="1:12">
      <c r="A94" s="490">
        <f t="shared" si="27"/>
        <v>42201</v>
      </c>
      <c r="B94" s="485"/>
      <c r="C94" s="485">
        <f t="shared" si="31"/>
        <v>0</v>
      </c>
      <c r="D94" s="485">
        <f t="shared" si="23"/>
        <v>0</v>
      </c>
      <c r="E94" s="485">
        <f t="shared" si="24"/>
        <v>0</v>
      </c>
      <c r="F94" s="485">
        <f t="shared" si="32"/>
        <v>0</v>
      </c>
      <c r="G94" s="485">
        <f t="shared" si="29"/>
        <v>0</v>
      </c>
      <c r="H94" s="485"/>
      <c r="I94" s="485">
        <f t="shared" si="25"/>
        <v>1.5068493150684933E-4</v>
      </c>
      <c r="J94" s="485">
        <f t="shared" si="33"/>
        <v>0</v>
      </c>
      <c r="L94" s="482"/>
    </row>
    <row r="95" spans="1:12">
      <c r="A95" s="490">
        <f t="shared" si="27"/>
        <v>42202</v>
      </c>
      <c r="B95" s="485"/>
      <c r="C95" s="485">
        <f t="shared" si="31"/>
        <v>0</v>
      </c>
      <c r="D95" s="485">
        <f t="shared" si="23"/>
        <v>0</v>
      </c>
      <c r="E95" s="485">
        <f t="shared" si="24"/>
        <v>0</v>
      </c>
      <c r="F95" s="485">
        <f t="shared" si="32"/>
        <v>0</v>
      </c>
      <c r="G95" s="485">
        <f t="shared" si="29"/>
        <v>0</v>
      </c>
      <c r="H95" s="485"/>
      <c r="I95" s="485">
        <f t="shared" si="25"/>
        <v>1.5068493150684933E-4</v>
      </c>
      <c r="J95" s="485">
        <f t="shared" si="33"/>
        <v>0</v>
      </c>
      <c r="L95" s="482"/>
    </row>
    <row r="96" spans="1:12">
      <c r="A96" s="490">
        <f t="shared" si="27"/>
        <v>42203</v>
      </c>
      <c r="B96" s="485"/>
      <c r="C96" s="485">
        <f t="shared" si="31"/>
        <v>0</v>
      </c>
      <c r="D96" s="485">
        <f t="shared" si="23"/>
        <v>0</v>
      </c>
      <c r="E96" s="485">
        <f t="shared" si="24"/>
        <v>0</v>
      </c>
      <c r="F96" s="485">
        <f t="shared" si="32"/>
        <v>0</v>
      </c>
      <c r="G96" s="485">
        <f t="shared" si="29"/>
        <v>0</v>
      </c>
      <c r="H96" s="485"/>
      <c r="I96" s="485">
        <f t="shared" si="25"/>
        <v>1.5068493150684933E-4</v>
      </c>
      <c r="J96" s="485">
        <f t="shared" si="33"/>
        <v>0</v>
      </c>
      <c r="L96" s="482"/>
    </row>
    <row r="97" spans="1:12">
      <c r="A97" s="490">
        <f t="shared" si="27"/>
        <v>42204</v>
      </c>
      <c r="B97" s="485"/>
      <c r="C97" s="485">
        <f t="shared" si="31"/>
        <v>0</v>
      </c>
      <c r="D97" s="485">
        <f t="shared" si="23"/>
        <v>0</v>
      </c>
      <c r="E97" s="485">
        <f t="shared" si="24"/>
        <v>0</v>
      </c>
      <c r="F97" s="485">
        <f t="shared" si="32"/>
        <v>0</v>
      </c>
      <c r="G97" s="485">
        <f t="shared" si="29"/>
        <v>0</v>
      </c>
      <c r="H97" s="485"/>
      <c r="I97" s="485">
        <f t="shared" si="25"/>
        <v>1.5068493150684933E-4</v>
      </c>
      <c r="J97" s="485">
        <f t="shared" si="33"/>
        <v>0</v>
      </c>
      <c r="L97" s="482"/>
    </row>
    <row r="98" spans="1:12">
      <c r="A98" s="490">
        <f t="shared" si="27"/>
        <v>42205</v>
      </c>
      <c r="B98" s="485"/>
      <c r="C98" s="485">
        <f t="shared" si="31"/>
        <v>0</v>
      </c>
      <c r="D98" s="485">
        <f t="shared" si="23"/>
        <v>0</v>
      </c>
      <c r="E98" s="485">
        <f t="shared" si="24"/>
        <v>0</v>
      </c>
      <c r="F98" s="485">
        <f t="shared" si="32"/>
        <v>0</v>
      </c>
      <c r="G98" s="485">
        <f t="shared" si="29"/>
        <v>0</v>
      </c>
      <c r="H98" s="485"/>
      <c r="I98" s="485">
        <f t="shared" si="25"/>
        <v>1.5068493150684933E-4</v>
      </c>
      <c r="J98" s="485">
        <f t="shared" si="33"/>
        <v>0</v>
      </c>
      <c r="L98" s="482"/>
    </row>
    <row r="99" spans="1:12">
      <c r="A99" s="490">
        <f t="shared" si="27"/>
        <v>42206</v>
      </c>
      <c r="B99" s="485"/>
      <c r="C99" s="485">
        <f t="shared" si="31"/>
        <v>0</v>
      </c>
      <c r="D99" s="485">
        <f t="shared" si="23"/>
        <v>0</v>
      </c>
      <c r="E99" s="485">
        <f t="shared" si="24"/>
        <v>0</v>
      </c>
      <c r="F99" s="485">
        <f t="shared" si="32"/>
        <v>0</v>
      </c>
      <c r="G99" s="485">
        <f t="shared" si="29"/>
        <v>0</v>
      </c>
      <c r="H99" s="485"/>
      <c r="I99" s="485">
        <f t="shared" si="25"/>
        <v>1.5068493150684933E-4</v>
      </c>
      <c r="J99" s="485">
        <f t="shared" si="33"/>
        <v>0</v>
      </c>
      <c r="L99" s="482"/>
    </row>
    <row r="100" spans="1:12">
      <c r="A100" s="490">
        <f t="shared" si="27"/>
        <v>42207</v>
      </c>
      <c r="B100" s="485"/>
      <c r="C100" s="485">
        <f t="shared" si="31"/>
        <v>0</v>
      </c>
      <c r="D100" s="485">
        <f t="shared" si="23"/>
        <v>0</v>
      </c>
      <c r="E100" s="485">
        <f t="shared" si="24"/>
        <v>0</v>
      </c>
      <c r="F100" s="485">
        <f t="shared" si="32"/>
        <v>0</v>
      </c>
      <c r="G100" s="485">
        <f t="shared" si="29"/>
        <v>0</v>
      </c>
      <c r="H100" s="485"/>
      <c r="I100" s="485">
        <f t="shared" si="25"/>
        <v>1.5068493150684933E-4</v>
      </c>
      <c r="J100" s="485">
        <f t="shared" si="33"/>
        <v>0</v>
      </c>
      <c r="L100" s="482"/>
    </row>
    <row r="101" spans="1:12">
      <c r="A101" s="490">
        <f t="shared" si="27"/>
        <v>42208</v>
      </c>
      <c r="B101" s="485"/>
      <c r="C101" s="485">
        <f t="shared" si="31"/>
        <v>0</v>
      </c>
      <c r="D101" s="485">
        <f t="shared" si="23"/>
        <v>0</v>
      </c>
      <c r="E101" s="485">
        <f t="shared" si="24"/>
        <v>0</v>
      </c>
      <c r="F101" s="485">
        <f t="shared" si="32"/>
        <v>0</v>
      </c>
      <c r="G101" s="485">
        <f t="shared" si="29"/>
        <v>0</v>
      </c>
      <c r="H101" s="485"/>
      <c r="I101" s="485">
        <f t="shared" si="25"/>
        <v>1.5068493150684933E-4</v>
      </c>
      <c r="J101" s="485">
        <f t="shared" si="33"/>
        <v>0</v>
      </c>
      <c r="L101" s="482"/>
    </row>
    <row r="102" spans="1:12">
      <c r="A102" s="490">
        <f t="shared" si="27"/>
        <v>42209</v>
      </c>
      <c r="B102" s="485"/>
      <c r="C102" s="485">
        <f t="shared" si="31"/>
        <v>0</v>
      </c>
      <c r="D102" s="485">
        <f t="shared" si="23"/>
        <v>0</v>
      </c>
      <c r="E102" s="485">
        <f t="shared" si="24"/>
        <v>0</v>
      </c>
      <c r="F102" s="485">
        <f t="shared" si="32"/>
        <v>0</v>
      </c>
      <c r="G102" s="485">
        <f t="shared" si="29"/>
        <v>0</v>
      </c>
      <c r="H102" s="485"/>
      <c r="I102" s="485">
        <f t="shared" si="25"/>
        <v>1.5068493150684933E-4</v>
      </c>
      <c r="J102" s="485">
        <f t="shared" si="33"/>
        <v>0</v>
      </c>
      <c r="L102" s="482"/>
    </row>
    <row r="103" spans="1:12">
      <c r="A103" s="490">
        <f t="shared" si="27"/>
        <v>42210</v>
      </c>
      <c r="B103" s="485"/>
      <c r="C103" s="485">
        <f t="shared" si="31"/>
        <v>0</v>
      </c>
      <c r="D103" s="485">
        <f t="shared" si="23"/>
        <v>0</v>
      </c>
      <c r="E103" s="485">
        <f t="shared" si="24"/>
        <v>0</v>
      </c>
      <c r="F103" s="485">
        <f t="shared" si="32"/>
        <v>0</v>
      </c>
      <c r="G103" s="485">
        <f t="shared" si="29"/>
        <v>0</v>
      </c>
      <c r="H103" s="485"/>
      <c r="I103" s="485">
        <f t="shared" si="25"/>
        <v>1.5068493150684933E-4</v>
      </c>
      <c r="J103" s="485">
        <f t="shared" si="33"/>
        <v>0</v>
      </c>
      <c r="L103" s="482"/>
    </row>
    <row r="104" spans="1:12">
      <c r="A104" s="490">
        <f t="shared" si="27"/>
        <v>42211</v>
      </c>
      <c r="B104" s="485"/>
      <c r="C104" s="485">
        <f t="shared" si="31"/>
        <v>0</v>
      </c>
      <c r="D104" s="485">
        <f t="shared" si="23"/>
        <v>0</v>
      </c>
      <c r="E104" s="485">
        <f t="shared" si="24"/>
        <v>0</v>
      </c>
      <c r="F104" s="485">
        <f t="shared" si="32"/>
        <v>0</v>
      </c>
      <c r="G104" s="485">
        <f t="shared" si="29"/>
        <v>0</v>
      </c>
      <c r="H104" s="485"/>
      <c r="I104" s="485">
        <f t="shared" si="25"/>
        <v>1.5068493150684933E-4</v>
      </c>
      <c r="J104" s="485">
        <f t="shared" si="33"/>
        <v>0</v>
      </c>
      <c r="L104" s="482"/>
    </row>
    <row r="105" spans="1:12">
      <c r="A105" s="490">
        <f t="shared" si="27"/>
        <v>42212</v>
      </c>
      <c r="B105" s="485"/>
      <c r="C105" s="485">
        <f t="shared" si="31"/>
        <v>0</v>
      </c>
      <c r="D105" s="485">
        <f t="shared" si="23"/>
        <v>0</v>
      </c>
      <c r="E105" s="485">
        <f t="shared" si="24"/>
        <v>0</v>
      </c>
      <c r="F105" s="485">
        <f t="shared" si="32"/>
        <v>0</v>
      </c>
      <c r="G105" s="485">
        <f t="shared" si="29"/>
        <v>0</v>
      </c>
      <c r="H105" s="485"/>
      <c r="I105" s="485">
        <f t="shared" si="25"/>
        <v>1.5068493150684933E-4</v>
      </c>
      <c r="J105" s="485">
        <f t="shared" si="33"/>
        <v>0</v>
      </c>
      <c r="L105" s="482"/>
    </row>
    <row r="106" spans="1:12">
      <c r="A106" s="490">
        <f t="shared" si="27"/>
        <v>42213</v>
      </c>
      <c r="B106" s="485"/>
      <c r="C106" s="485">
        <f t="shared" si="31"/>
        <v>0</v>
      </c>
      <c r="D106" s="485">
        <f t="shared" si="23"/>
        <v>0</v>
      </c>
      <c r="E106" s="485">
        <f t="shared" si="24"/>
        <v>0</v>
      </c>
      <c r="F106" s="485">
        <f t="shared" si="32"/>
        <v>0</v>
      </c>
      <c r="G106" s="485">
        <f t="shared" si="29"/>
        <v>0</v>
      </c>
      <c r="H106" s="485"/>
      <c r="I106" s="485">
        <f t="shared" si="25"/>
        <v>1.5068493150684933E-4</v>
      </c>
      <c r="J106" s="485">
        <f t="shared" si="33"/>
        <v>0</v>
      </c>
      <c r="L106" s="482"/>
    </row>
    <row r="107" spans="1:12">
      <c r="A107" s="490">
        <f t="shared" si="27"/>
        <v>42214</v>
      </c>
      <c r="B107" s="485"/>
      <c r="C107" s="485">
        <f t="shared" si="31"/>
        <v>0</v>
      </c>
      <c r="D107" s="485">
        <f t="shared" si="23"/>
        <v>0</v>
      </c>
      <c r="E107" s="485">
        <f t="shared" si="24"/>
        <v>0</v>
      </c>
      <c r="F107" s="485">
        <f t="shared" si="32"/>
        <v>0</v>
      </c>
      <c r="G107" s="485">
        <f t="shared" si="29"/>
        <v>0</v>
      </c>
      <c r="H107" s="485"/>
      <c r="I107" s="485">
        <f t="shared" si="25"/>
        <v>1.5068493150684933E-4</v>
      </c>
      <c r="J107" s="485">
        <f t="shared" si="33"/>
        <v>0</v>
      </c>
      <c r="L107" s="482"/>
    </row>
    <row r="108" spans="1:12">
      <c r="A108" s="490">
        <f t="shared" si="27"/>
        <v>42215</v>
      </c>
      <c r="B108" s="485"/>
      <c r="C108" s="485">
        <f t="shared" si="31"/>
        <v>0</v>
      </c>
      <c r="D108" s="485">
        <f t="shared" si="23"/>
        <v>0</v>
      </c>
      <c r="E108" s="485">
        <f t="shared" si="24"/>
        <v>0</v>
      </c>
      <c r="F108" s="485">
        <f t="shared" si="32"/>
        <v>0</v>
      </c>
      <c r="G108" s="485">
        <f t="shared" si="29"/>
        <v>0</v>
      </c>
      <c r="H108" s="485"/>
      <c r="I108" s="485">
        <f t="shared" si="25"/>
        <v>1.5068493150684933E-4</v>
      </c>
      <c r="J108" s="485">
        <f t="shared" si="33"/>
        <v>0</v>
      </c>
      <c r="L108" s="482"/>
    </row>
    <row r="109" spans="1:12">
      <c r="A109" s="490">
        <f t="shared" si="27"/>
        <v>42216</v>
      </c>
      <c r="B109" s="485"/>
      <c r="C109" s="485">
        <f t="shared" si="31"/>
        <v>0</v>
      </c>
      <c r="D109" s="485">
        <f t="shared" si="23"/>
        <v>0</v>
      </c>
      <c r="E109" s="485">
        <f t="shared" si="24"/>
        <v>0</v>
      </c>
      <c r="F109" s="485">
        <f t="shared" si="32"/>
        <v>0</v>
      </c>
      <c r="G109" s="485">
        <f t="shared" si="29"/>
        <v>0</v>
      </c>
      <c r="H109" s="485"/>
      <c r="I109" s="485">
        <f t="shared" si="25"/>
        <v>1.5068493150684933E-4</v>
      </c>
      <c r="J109" s="485">
        <f t="shared" si="33"/>
        <v>0</v>
      </c>
      <c r="L109" s="482"/>
    </row>
    <row r="110" spans="1:12">
      <c r="B110" s="485"/>
      <c r="C110" s="485"/>
      <c r="D110" s="485"/>
      <c r="E110" s="485"/>
      <c r="F110" s="485"/>
      <c r="G110" s="485"/>
      <c r="H110" s="485"/>
      <c r="I110" s="485"/>
      <c r="J110" s="485"/>
    </row>
    <row r="111" spans="1:12">
      <c r="A111" s="481" t="s">
        <v>215</v>
      </c>
      <c r="B111" s="485"/>
      <c r="C111" s="487">
        <f>SUM(C79:C110)</f>
        <v>19393</v>
      </c>
      <c r="D111" s="487">
        <f>SUM(D79:D110)</f>
        <v>3299</v>
      </c>
      <c r="E111" s="487">
        <f>SUM(E79:E110)</f>
        <v>3102</v>
      </c>
      <c r="F111" s="487">
        <f>SUM(F79:F110)</f>
        <v>432</v>
      </c>
      <c r="G111" s="487">
        <f>SUM(G79:G110)</f>
        <v>1681</v>
      </c>
      <c r="H111" s="487"/>
      <c r="I111" s="487"/>
      <c r="J111" s="487">
        <f>SUM(J79:J110)</f>
        <v>71016</v>
      </c>
      <c r="K111" s="481">
        <f>35511</f>
        <v>35511</v>
      </c>
      <c r="L111" s="482">
        <f>SUM(L79:L110)</f>
        <v>173260.4829623288</v>
      </c>
    </row>
    <row r="112" spans="1:12">
      <c r="K112" s="483">
        <f>J111-K111</f>
        <v>35505</v>
      </c>
      <c r="L112" s="482">
        <f>J111-L111</f>
        <v>-102244.4829623288</v>
      </c>
    </row>
  </sheetData>
  <pageMargins left="0.7" right="0.7" top="0.75" bottom="0.75" header="0.3" footer="0.3"/>
  <pageSetup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GI53"/>
  <sheetViews>
    <sheetView view="pageBreakPreview" topLeftCell="A39" zoomScaleSheetLayoutView="100" workbookViewId="0">
      <selection activeCell="N16" sqref="N1:AB1048576"/>
    </sheetView>
  </sheetViews>
  <sheetFormatPr defaultRowHeight="12"/>
  <cols>
    <col min="1" max="1" width="5.125" style="80" customWidth="1"/>
    <col min="2" max="2" width="3.625" style="81" customWidth="1"/>
    <col min="3" max="3" width="28.375" style="81" customWidth="1"/>
    <col min="4" max="4" width="5.875" style="81" customWidth="1"/>
    <col min="5" max="5" width="1.25" style="81" customWidth="1"/>
    <col min="6" max="6" width="10.5" style="81" bestFit="1" customWidth="1"/>
    <col min="7" max="7" width="1.25" style="81" customWidth="1"/>
    <col min="8" max="8" width="9.625" style="81" bestFit="1" customWidth="1"/>
    <col min="9" max="9" width="1" style="81" customWidth="1"/>
    <col min="10" max="10" width="9.625" style="81" bestFit="1" customWidth="1"/>
    <col min="11" max="11" width="0.75" style="81" customWidth="1"/>
    <col min="12" max="12" width="9.75" style="388" customWidth="1"/>
    <col min="13" max="13" width="1.125" style="388" customWidth="1"/>
    <col min="14" max="16384" width="9" style="81"/>
  </cols>
  <sheetData>
    <row r="1" spans="1:12">
      <c r="A1" s="2" t="s">
        <v>267</v>
      </c>
      <c r="B1" s="87"/>
      <c r="C1" s="87"/>
      <c r="D1" s="87"/>
      <c r="F1" s="88"/>
      <c r="G1" s="88"/>
    </row>
    <row r="2" spans="1:12">
      <c r="A2" s="459" t="s">
        <v>253</v>
      </c>
      <c r="B2" s="89"/>
      <c r="C2" s="89"/>
      <c r="D2" s="87"/>
      <c r="F2" s="88"/>
      <c r="G2" s="88"/>
    </row>
    <row r="3" spans="1:12" s="80" customFormat="1">
      <c r="A3" s="89" t="s">
        <v>318</v>
      </c>
      <c r="B3" s="89"/>
      <c r="C3" s="89"/>
      <c r="D3" s="87"/>
      <c r="E3" s="81"/>
      <c r="F3" s="90"/>
      <c r="G3" s="90"/>
    </row>
    <row r="4" spans="1:12" s="80" customFormat="1" ht="36">
      <c r="A4" s="89"/>
      <c r="B4" s="89"/>
      <c r="C4" s="89"/>
      <c r="D4" s="87"/>
      <c r="E4" s="4"/>
      <c r="F4" s="409" t="s">
        <v>323</v>
      </c>
      <c r="G4" s="4"/>
      <c r="H4" s="409" t="s">
        <v>324</v>
      </c>
      <c r="I4" s="4"/>
      <c r="J4" s="535" t="s">
        <v>325</v>
      </c>
      <c r="K4" s="538"/>
      <c r="L4" s="507" t="s">
        <v>215</v>
      </c>
    </row>
    <row r="5" spans="1:12" s="135" customFormat="1" ht="11.25">
      <c r="D5" s="136"/>
      <c r="E5" s="636"/>
      <c r="F5" s="714" t="s">
        <v>287</v>
      </c>
      <c r="G5" s="715"/>
      <c r="H5" s="715"/>
      <c r="I5" s="715"/>
      <c r="J5" s="715"/>
      <c r="K5" s="715"/>
      <c r="L5" s="716"/>
    </row>
    <row r="6" spans="1:12" s="135" customFormat="1" ht="11.25">
      <c r="D6" s="134"/>
      <c r="E6" s="496"/>
      <c r="F6" s="496"/>
      <c r="G6" s="361"/>
    </row>
    <row r="7" spans="1:12" s="158" customFormat="1" ht="11.25">
      <c r="A7" s="154"/>
      <c r="B7" s="154"/>
      <c r="C7" s="154"/>
      <c r="D7" s="155"/>
      <c r="E7" s="156"/>
      <c r="F7" s="157"/>
      <c r="G7" s="156"/>
    </row>
    <row r="8" spans="1:12" s="158" customFormat="1">
      <c r="A8" s="176" t="s">
        <v>143</v>
      </c>
      <c r="B8" s="154"/>
      <c r="C8" s="154"/>
      <c r="D8" s="159"/>
      <c r="E8" s="80"/>
      <c r="F8" s="365">
        <v>100909.06600000001</v>
      </c>
      <c r="G8" s="155"/>
      <c r="H8" s="365">
        <v>75791.58</v>
      </c>
      <c r="J8" s="365">
        <v>78624.178</v>
      </c>
      <c r="L8" s="92">
        <v>255324.82400000002</v>
      </c>
    </row>
    <row r="9" spans="1:12" s="158" customFormat="1">
      <c r="A9" s="176"/>
      <c r="B9" s="154"/>
      <c r="C9" s="154"/>
      <c r="D9" s="159"/>
      <c r="E9" s="80"/>
      <c r="F9" s="365"/>
      <c r="G9" s="155"/>
      <c r="H9" s="365"/>
      <c r="J9" s="365"/>
      <c r="L9" s="92"/>
    </row>
    <row r="10" spans="1:12" s="159" customFormat="1">
      <c r="A10" s="80" t="s">
        <v>421</v>
      </c>
      <c r="B10" s="154"/>
      <c r="C10" s="154"/>
      <c r="E10" s="80"/>
      <c r="F10" s="366">
        <v>3936.9690000000001</v>
      </c>
      <c r="G10" s="155"/>
      <c r="H10" s="366">
        <v>2233</v>
      </c>
      <c r="J10" s="366">
        <v>3278.3</v>
      </c>
      <c r="L10" s="202">
        <v>9448.2690000000002</v>
      </c>
    </row>
    <row r="11" spans="1:12" s="159" customFormat="1" hidden="1">
      <c r="A11" s="80"/>
      <c r="B11" s="154"/>
      <c r="C11" s="154"/>
      <c r="E11" s="80"/>
      <c r="F11" s="367"/>
      <c r="G11" s="155"/>
      <c r="H11" s="367"/>
      <c r="J11" s="367"/>
      <c r="L11" s="203"/>
    </row>
    <row r="12" spans="1:12" s="159" customFormat="1" ht="2.25" customHeight="1">
      <c r="A12" s="80"/>
      <c r="B12" s="154"/>
      <c r="C12" s="154"/>
      <c r="E12" s="80"/>
      <c r="F12" s="368">
        <v>0</v>
      </c>
      <c r="H12" s="368">
        <v>0</v>
      </c>
      <c r="J12" s="368">
        <v>0</v>
      </c>
      <c r="L12" s="204">
        <v>0</v>
      </c>
    </row>
    <row r="13" spans="1:12" s="159" customFormat="1">
      <c r="A13" s="80"/>
      <c r="B13" s="154"/>
      <c r="C13" s="154"/>
      <c r="E13" s="80"/>
      <c r="F13" s="93">
        <v>3936.9690000000001</v>
      </c>
      <c r="G13" s="161"/>
      <c r="H13" s="93">
        <v>2233</v>
      </c>
      <c r="J13" s="93">
        <v>3278.3</v>
      </c>
      <c r="L13" s="93">
        <v>9448.2690000000002</v>
      </c>
    </row>
    <row r="14" spans="1:12" s="159" customFormat="1">
      <c r="B14" s="154"/>
      <c r="C14" s="154"/>
      <c r="E14" s="80"/>
      <c r="F14" s="93"/>
      <c r="G14" s="161"/>
      <c r="H14" s="93"/>
      <c r="J14" s="93"/>
      <c r="L14" s="93"/>
    </row>
    <row r="15" spans="1:12" s="159" customFormat="1">
      <c r="A15" s="80"/>
      <c r="B15" s="154"/>
      <c r="C15" s="154"/>
      <c r="E15" s="369"/>
      <c r="F15" s="80"/>
      <c r="G15" s="162"/>
      <c r="H15" s="80"/>
      <c r="J15" s="80"/>
      <c r="L15" s="80"/>
    </row>
    <row r="16" spans="1:12" s="159" customFormat="1">
      <c r="A16" s="363"/>
      <c r="C16" s="154"/>
      <c r="E16" s="80"/>
      <c r="F16" s="370"/>
      <c r="G16" s="155"/>
      <c r="H16" s="370"/>
      <c r="J16" s="370"/>
      <c r="L16" s="206"/>
    </row>
    <row r="17" spans="1:191" s="159" customFormat="1">
      <c r="A17" s="160"/>
      <c r="C17" s="154"/>
      <c r="E17" s="80"/>
      <c r="F17" s="208">
        <v>104846.035</v>
      </c>
      <c r="G17" s="164"/>
      <c r="H17" s="208">
        <v>78024.58</v>
      </c>
      <c r="J17" s="208">
        <v>81902.478000000003</v>
      </c>
      <c r="L17" s="208">
        <v>264773.09299999999</v>
      </c>
    </row>
    <row r="18" spans="1:191" s="158" customFormat="1">
      <c r="A18" s="207"/>
      <c r="B18" s="159"/>
      <c r="C18" s="159"/>
      <c r="D18" s="159"/>
      <c r="E18" s="80"/>
      <c r="F18" s="208"/>
      <c r="G18" s="163"/>
      <c r="H18" s="208"/>
      <c r="J18" s="208"/>
      <c r="L18" s="208"/>
      <c r="GI18" s="165"/>
    </row>
    <row r="19" spans="1:191" s="158" customFormat="1">
      <c r="A19" s="210"/>
      <c r="B19" s="154"/>
      <c r="C19" s="154"/>
      <c r="E19" s="80"/>
      <c r="F19" s="688"/>
      <c r="G19" s="166"/>
      <c r="H19" s="688"/>
      <c r="J19" s="688"/>
      <c r="L19" s="688"/>
    </row>
    <row r="20" spans="1:191" s="158" customFormat="1">
      <c r="A20" s="210" t="s">
        <v>461</v>
      </c>
      <c r="B20" s="154"/>
      <c r="C20" s="154"/>
      <c r="E20" s="80"/>
      <c r="F20" s="689"/>
      <c r="G20" s="166"/>
      <c r="H20" s="689"/>
      <c r="J20" s="689"/>
      <c r="L20" s="689"/>
    </row>
    <row r="21" spans="1:191" s="158" customFormat="1">
      <c r="A21" s="212" t="s">
        <v>460</v>
      </c>
      <c r="B21" s="154"/>
      <c r="C21" s="154"/>
      <c r="E21" s="80"/>
      <c r="F21" s="367">
        <v>-7354.81</v>
      </c>
      <c r="G21" s="166"/>
      <c r="H21" s="367">
        <v>0</v>
      </c>
      <c r="J21" s="367">
        <v>0</v>
      </c>
      <c r="L21" s="689">
        <v>-7354.81</v>
      </c>
    </row>
    <row r="22" spans="1:191" s="167" customFormat="1">
      <c r="A22" s="91"/>
      <c r="B22" s="154"/>
      <c r="C22" s="154"/>
      <c r="E22" s="80"/>
      <c r="F22" s="689"/>
      <c r="G22" s="166"/>
      <c r="H22" s="689"/>
      <c r="I22" s="158"/>
      <c r="J22" s="689"/>
      <c r="K22" s="158"/>
      <c r="L22" s="689"/>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row>
    <row r="23" spans="1:191" s="158" customFormat="1">
      <c r="A23" s="55" t="s">
        <v>458</v>
      </c>
      <c r="E23" s="6"/>
      <c r="F23" s="15">
        <v>0</v>
      </c>
      <c r="G23" s="686"/>
      <c r="H23" s="15">
        <v>0</v>
      </c>
      <c r="I23" s="686"/>
      <c r="J23" s="15">
        <v>0</v>
      </c>
      <c r="K23" s="686"/>
      <c r="L23" s="15">
        <v>0</v>
      </c>
    </row>
    <row r="24" spans="1:191" s="158" customFormat="1">
      <c r="A24" s="159"/>
      <c r="E24" s="6"/>
      <c r="F24" s="15"/>
      <c r="G24" s="686"/>
      <c r="H24" s="15"/>
      <c r="I24" s="686"/>
      <c r="J24" s="15"/>
      <c r="K24" s="686"/>
      <c r="L24" s="15"/>
    </row>
    <row r="25" spans="1:191" s="158" customFormat="1" hidden="1">
      <c r="A25" s="80" t="s">
        <v>214</v>
      </c>
      <c r="E25" s="6"/>
      <c r="F25" s="15"/>
      <c r="G25" s="686"/>
      <c r="H25" s="15"/>
      <c r="I25" s="686"/>
      <c r="J25" s="15"/>
      <c r="K25" s="686"/>
      <c r="L25" s="15"/>
    </row>
    <row r="26" spans="1:191" s="158" customFormat="1" hidden="1">
      <c r="A26" s="364" t="s">
        <v>24</v>
      </c>
      <c r="E26" s="6"/>
      <c r="F26" s="15"/>
      <c r="G26" s="686"/>
      <c r="H26" s="15"/>
      <c r="I26" s="686"/>
      <c r="J26" s="15"/>
      <c r="K26" s="686"/>
      <c r="L26" s="15"/>
    </row>
    <row r="27" spans="1:191" s="158" customFormat="1" hidden="1">
      <c r="A27" s="207" t="s">
        <v>25</v>
      </c>
      <c r="E27" s="6"/>
      <c r="F27" s="15">
        <v>0</v>
      </c>
      <c r="G27" s="686"/>
      <c r="H27" s="15">
        <v>0</v>
      </c>
      <c r="I27" s="686"/>
      <c r="J27" s="15">
        <v>0</v>
      </c>
      <c r="K27" s="686"/>
      <c r="L27" s="15">
        <v>0</v>
      </c>
    </row>
    <row r="28" spans="1:191" s="158" customFormat="1" hidden="1">
      <c r="A28" s="160"/>
      <c r="E28" s="6"/>
      <c r="F28" s="15"/>
      <c r="G28" s="686"/>
      <c r="H28" s="15"/>
      <c r="I28" s="686"/>
      <c r="J28" s="15"/>
      <c r="K28" s="686"/>
      <c r="L28" s="15"/>
    </row>
    <row r="29" spans="1:191" s="158" customFormat="1">
      <c r="A29" s="215" t="s">
        <v>422</v>
      </c>
      <c r="E29" s="6"/>
      <c r="F29" s="17">
        <v>760.02700000000004</v>
      </c>
      <c r="G29" s="686"/>
      <c r="H29" s="17">
        <v>510.42500000000007</v>
      </c>
      <c r="I29" s="686"/>
      <c r="J29" s="17">
        <v>476.25699999999995</v>
      </c>
      <c r="K29" s="686"/>
      <c r="L29" s="17">
        <v>1746.7089999999996</v>
      </c>
    </row>
    <row r="30" spans="1:191" s="158" customFormat="1">
      <c r="A30" s="159"/>
      <c r="E30" s="6"/>
      <c r="F30" s="13"/>
      <c r="G30" s="686"/>
      <c r="H30" s="13"/>
      <c r="I30" s="686"/>
      <c r="J30" s="13"/>
      <c r="K30" s="686"/>
      <c r="L30" s="13"/>
    </row>
    <row r="31" spans="1:191" s="158" customFormat="1">
      <c r="A31" s="80"/>
      <c r="E31" s="6"/>
      <c r="F31" s="13"/>
      <c r="G31" s="686"/>
      <c r="H31" s="13"/>
      <c r="I31" s="686"/>
      <c r="J31" s="13"/>
      <c r="K31" s="686"/>
      <c r="L31" s="13"/>
    </row>
    <row r="32" spans="1:191" s="158" customFormat="1">
      <c r="A32" s="363"/>
      <c r="E32" s="6"/>
      <c r="F32" s="687"/>
      <c r="G32" s="686"/>
      <c r="H32" s="687"/>
      <c r="I32" s="686"/>
      <c r="J32" s="687"/>
      <c r="K32" s="686"/>
      <c r="L32" s="687"/>
    </row>
    <row r="33" spans="1:191" s="158" customFormat="1">
      <c r="A33" s="690" t="s">
        <v>459</v>
      </c>
      <c r="E33" s="80"/>
      <c r="F33" s="218">
        <v>-6594.7830000000004</v>
      </c>
      <c r="H33" s="218">
        <v>510.42500000000007</v>
      </c>
      <c r="J33" s="218">
        <v>476.25699999999995</v>
      </c>
      <c r="L33" s="218">
        <v>-5608.1010000000006</v>
      </c>
    </row>
    <row r="34" spans="1:191" s="158" customFormat="1">
      <c r="A34" s="159"/>
      <c r="E34" s="80"/>
      <c r="F34" s="80"/>
      <c r="H34" s="80"/>
      <c r="J34" s="80"/>
      <c r="L34" s="80"/>
    </row>
    <row r="35" spans="1:191" s="167" customFormat="1" ht="12.75" thickBot="1">
      <c r="A35" s="176" t="s">
        <v>75</v>
      </c>
      <c r="B35" s="168"/>
      <c r="C35" s="168"/>
      <c r="E35" s="80"/>
      <c r="F35" s="371">
        <v>98251.252000000008</v>
      </c>
      <c r="G35" s="161"/>
      <c r="H35" s="371">
        <v>78535.005000000005</v>
      </c>
      <c r="I35" s="158"/>
      <c r="J35" s="371">
        <v>82378.735000000001</v>
      </c>
      <c r="K35" s="158"/>
      <c r="L35" s="371">
        <v>259164.992</v>
      </c>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58"/>
      <c r="FT35" s="158"/>
      <c r="FU35" s="158"/>
      <c r="FV35" s="158"/>
      <c r="FW35" s="158"/>
      <c r="FX35" s="158"/>
      <c r="FY35" s="158"/>
      <c r="FZ35" s="158"/>
      <c r="GA35" s="158"/>
      <c r="GB35" s="158"/>
    </row>
    <row r="36" spans="1:191" s="91" customFormat="1" ht="12.75" thickTop="1">
      <c r="A36" s="94"/>
      <c r="B36" s="94"/>
      <c r="C36" s="94"/>
      <c r="D36" s="94"/>
      <c r="E36" s="80"/>
      <c r="F36" s="94"/>
      <c r="G36" s="94"/>
      <c r="H36" s="81"/>
      <c r="I36" s="81"/>
      <c r="J36" s="81"/>
      <c r="K36" s="81"/>
      <c r="L36" s="94"/>
      <c r="M36" s="388"/>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row>
    <row r="37" spans="1:191" s="91" customFormat="1">
      <c r="A37" s="94"/>
      <c r="B37" s="94"/>
      <c r="C37" s="94"/>
      <c r="D37" s="94"/>
      <c r="F37" s="128"/>
      <c r="H37" s="81"/>
      <c r="I37" s="81"/>
      <c r="J37" s="81"/>
      <c r="K37" s="81"/>
      <c r="L37" s="128"/>
      <c r="M37" s="388"/>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row>
    <row r="38" spans="1:191" s="4" customFormat="1" hidden="1">
      <c r="B38" s="281"/>
      <c r="C38" s="281"/>
      <c r="D38" s="281"/>
      <c r="E38" s="281"/>
      <c r="F38" s="497">
        <v>0.25200000000768341</v>
      </c>
      <c r="G38" s="13"/>
      <c r="H38" s="497">
        <v>5.0000000046566129E-3</v>
      </c>
      <c r="I38" s="13"/>
      <c r="J38" s="497">
        <v>0.73500000000058208</v>
      </c>
      <c r="K38" s="13"/>
      <c r="L38" s="497">
        <v>-8.0000000016298145E-3</v>
      </c>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row>
    <row r="39" spans="1:191" s="4" customFormat="1">
      <c r="A39" s="57" t="s">
        <v>480</v>
      </c>
      <c r="D39" s="279"/>
      <c r="E39" s="279"/>
      <c r="F39" s="279"/>
      <c r="G39" s="13"/>
    </row>
    <row r="40" spans="1:191" s="4" customFormat="1">
      <c r="D40" s="279"/>
      <c r="E40" s="279"/>
      <c r="F40" s="279"/>
      <c r="G40" s="13"/>
    </row>
    <row r="41" spans="1:191" s="4" customFormat="1">
      <c r="D41" s="279"/>
      <c r="E41" s="279"/>
      <c r="F41" s="279"/>
      <c r="G41" s="13"/>
    </row>
    <row r="42" spans="1:191" s="4" customFormat="1">
      <c r="D42" s="279"/>
      <c r="E42" s="279"/>
      <c r="F42" s="279"/>
      <c r="G42" s="13"/>
    </row>
    <row r="43" spans="1:191" s="4" customFormat="1">
      <c r="D43" s="279"/>
      <c r="E43" s="279"/>
      <c r="F43" s="279"/>
      <c r="G43" s="13"/>
    </row>
    <row r="44" spans="1:191" s="4" customFormat="1">
      <c r="D44" s="279"/>
      <c r="E44" s="279"/>
      <c r="F44" s="279"/>
      <c r="G44" s="13"/>
    </row>
    <row r="45" spans="1:191" s="4" customFormat="1">
      <c r="D45" s="278"/>
      <c r="E45" s="278"/>
      <c r="F45" s="278"/>
      <c r="G45" s="13"/>
    </row>
    <row r="46" spans="1:191" s="4" customFormat="1">
      <c r="A46" s="2" t="s">
        <v>335</v>
      </c>
      <c r="C46" s="2"/>
      <c r="D46" s="278"/>
      <c r="E46" s="278"/>
      <c r="F46" s="278"/>
      <c r="G46" s="13"/>
    </row>
    <row r="47" spans="1:191" s="4" customFormat="1">
      <c r="A47" s="66" t="s">
        <v>400</v>
      </c>
      <c r="B47" s="51"/>
      <c r="C47" s="2"/>
      <c r="E47" s="13"/>
      <c r="G47" s="13"/>
    </row>
    <row r="48" spans="1:191" s="4" customFormat="1">
      <c r="A48" s="51"/>
      <c r="B48" s="51"/>
      <c r="C48" s="51"/>
      <c r="D48" s="3"/>
      <c r="E48" s="3"/>
      <c r="F48" s="3"/>
      <c r="G48" s="26"/>
    </row>
    <row r="49" spans="1:7" s="4" customFormat="1">
      <c r="A49" s="51"/>
      <c r="B49" s="51"/>
      <c r="C49" s="51"/>
      <c r="D49" s="3"/>
      <c r="E49" s="3"/>
      <c r="F49" s="3"/>
      <c r="G49" s="26"/>
    </row>
    <row r="50" spans="1:7" s="4" customFormat="1">
      <c r="A50" s="66" t="s">
        <v>484</v>
      </c>
      <c r="B50" s="51"/>
      <c r="C50" s="51"/>
      <c r="D50" s="3"/>
      <c r="E50" s="3"/>
      <c r="F50" s="3"/>
      <c r="G50" s="3"/>
    </row>
    <row r="51" spans="1:7" s="4" customFormat="1">
      <c r="A51" s="282" t="s">
        <v>97</v>
      </c>
      <c r="B51" s="27"/>
      <c r="C51" s="27"/>
      <c r="D51" s="3"/>
      <c r="E51" s="3"/>
      <c r="F51" s="3"/>
      <c r="G51" s="3"/>
    </row>
    <row r="52" spans="1:7" s="4" customFormat="1">
      <c r="A52" s="51"/>
      <c r="B52" s="51"/>
      <c r="C52" s="51"/>
      <c r="D52" s="26"/>
      <c r="E52" s="26"/>
      <c r="F52" s="26"/>
      <c r="G52" s="26"/>
    </row>
    <row r="53" spans="1:7" s="29" customFormat="1">
      <c r="A53" s="51"/>
      <c r="B53" s="51"/>
      <c r="C53" s="51"/>
      <c r="D53" s="290"/>
      <c r="E53" s="290"/>
      <c r="F53" s="290"/>
      <c r="G53" s="290"/>
    </row>
  </sheetData>
  <customSheetViews>
    <customSheetView guid="{84FBBE83-FF6F-4C76-A58E-D04643F715A5}" showPageBreaks="1" printArea="1" view="pageBreakPreview" topLeftCell="A22">
      <selection activeCell="K26" sqref="K26"/>
      <pageMargins left="0.75" right="0.5" top="0.5" bottom="0.25" header="0.5" footer="0.5"/>
      <printOptions horizontalCentered="1"/>
      <pageSetup paperSize="9" fitToWidth="12" fitToHeight="12" orientation="portrait" r:id="rId1"/>
      <headerFooter alignWithMargins="0">
        <oddFooter>&amp;C5 of 11</oddFooter>
      </headerFooter>
    </customSheetView>
  </customSheetViews>
  <mergeCells count="1">
    <mergeCell ref="F5:L5"/>
  </mergeCells>
  <phoneticPr fontId="0" type="noConversion"/>
  <printOptions horizontalCentered="1"/>
  <pageMargins left="0.75" right="0.5" top="0.5" bottom="0.25" header="0.5" footer="0.5"/>
  <pageSetup paperSize="9" scale="77" fitToWidth="12" fitToHeight="12" orientation="portrait" r:id="rId2"/>
  <headerFooter alignWithMargins="0">
    <oddFooter>&amp;C4 of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7"/>
  </sheetPr>
  <dimension ref="A1:IM48"/>
  <sheetViews>
    <sheetView view="pageBreakPreview" zoomScale="90" zoomScaleSheetLayoutView="90" workbookViewId="0">
      <selection activeCell="H1" sqref="H1"/>
    </sheetView>
  </sheetViews>
  <sheetFormatPr defaultRowHeight="12"/>
  <cols>
    <col min="1" max="1" width="5.125" style="80" customWidth="1"/>
    <col min="2" max="2" width="3.625" style="81" customWidth="1"/>
    <col min="3" max="3" width="41.625" style="81" customWidth="1"/>
    <col min="4" max="5" width="5.125" style="81" customWidth="1"/>
    <col min="6" max="6" width="14.125" style="81" customWidth="1"/>
    <col min="7" max="7" width="13.75" style="81" customWidth="1"/>
    <col min="8" max="8" width="12.375" style="81" customWidth="1"/>
    <col min="9" max="16384" width="9" style="81"/>
  </cols>
  <sheetData>
    <row r="1" spans="1:8">
      <c r="A1" s="2" t="str">
        <f>[46]BS!$A$1</f>
        <v>NATIONAL INVESTMENT (UNIT) TRUST</v>
      </c>
      <c r="B1" s="87"/>
      <c r="C1" s="87"/>
      <c r="D1" s="87"/>
      <c r="E1" s="87"/>
      <c r="F1" s="88"/>
      <c r="G1" s="88"/>
      <c r="H1" s="357" t="s">
        <v>207</v>
      </c>
    </row>
    <row r="2" spans="1:8">
      <c r="A2" s="89" t="s">
        <v>35</v>
      </c>
      <c r="B2" s="89"/>
      <c r="C2" s="89"/>
      <c r="D2" s="87"/>
      <c r="E2" s="87"/>
      <c r="F2" s="88"/>
      <c r="G2" s="88"/>
      <c r="H2" s="88"/>
    </row>
    <row r="3" spans="1:8" s="80" customFormat="1">
      <c r="A3" s="89" t="s">
        <v>165</v>
      </c>
      <c r="B3" s="89"/>
      <c r="C3" s="89"/>
      <c r="D3" s="87"/>
      <c r="E3" s="87"/>
      <c r="F3" s="90"/>
      <c r="G3" s="90"/>
      <c r="H3" s="90"/>
    </row>
    <row r="4" spans="1:8" s="80" customFormat="1">
      <c r="A4" s="89" t="s">
        <v>195</v>
      </c>
      <c r="B4" s="89"/>
      <c r="C4" s="89"/>
      <c r="D4" s="87"/>
      <c r="E4" s="87"/>
      <c r="F4" s="90" t="s">
        <v>204</v>
      </c>
      <c r="G4" s="90" t="s">
        <v>205</v>
      </c>
      <c r="H4" s="90"/>
    </row>
    <row r="5" spans="1:8" ht="37.5" customHeight="1">
      <c r="A5" s="90"/>
      <c r="B5" s="90"/>
      <c r="C5" s="90"/>
      <c r="D5" s="197"/>
      <c r="E5" s="197"/>
      <c r="F5" s="243" t="s">
        <v>206</v>
      </c>
      <c r="G5" s="243" t="s">
        <v>208</v>
      </c>
      <c r="H5" s="243" t="s">
        <v>36</v>
      </c>
    </row>
    <row r="6" spans="1:8">
      <c r="A6" s="90"/>
      <c r="B6" s="90"/>
      <c r="C6" s="90"/>
      <c r="D6" s="92"/>
      <c r="E6" s="92"/>
      <c r="F6" s="198"/>
      <c r="G6" s="198"/>
      <c r="H6" s="198"/>
    </row>
    <row r="7" spans="1:8">
      <c r="A7" s="90"/>
      <c r="B7" s="90"/>
      <c r="C7" s="90"/>
      <c r="D7" s="92"/>
      <c r="E7" s="92"/>
      <c r="F7" s="199"/>
      <c r="G7" s="199"/>
      <c r="H7" s="32"/>
    </row>
    <row r="8" spans="1:8">
      <c r="A8" s="90"/>
      <c r="B8" s="90"/>
      <c r="C8" s="90"/>
      <c r="D8" s="92"/>
      <c r="E8" s="92"/>
      <c r="F8" s="199"/>
      <c r="G8" s="199"/>
      <c r="H8" s="199"/>
    </row>
    <row r="9" spans="1:8">
      <c r="A9" s="90" t="s">
        <v>42</v>
      </c>
      <c r="B9" s="90"/>
      <c r="C9" s="90"/>
      <c r="D9" s="92"/>
      <c r="E9" s="80"/>
      <c r="F9" s="92">
        <f>UHF!L8</f>
        <v>255324.82400000002</v>
      </c>
      <c r="G9" s="92">
        <v>41487495</v>
      </c>
      <c r="H9" s="92">
        <f>G36</f>
        <v>40776217</v>
      </c>
    </row>
    <row r="10" spans="1:8" s="80" customFormat="1">
      <c r="A10" s="90"/>
      <c r="B10" s="90"/>
      <c r="C10" s="90"/>
      <c r="D10" s="92"/>
      <c r="F10" s="200"/>
      <c r="G10" s="200"/>
      <c r="H10" s="200"/>
    </row>
    <row r="11" spans="1:8" s="80" customFormat="1">
      <c r="A11" s="201" t="s">
        <v>43</v>
      </c>
      <c r="B11" s="90"/>
      <c r="C11" s="90"/>
      <c r="D11" s="92"/>
      <c r="F11" s="202">
        <f>UHF!L10</f>
        <v>9448.2690000000002</v>
      </c>
      <c r="G11" s="202">
        <v>1888016</v>
      </c>
      <c r="H11" s="202">
        <f>F11-G11</f>
        <v>-1878567.7309999999</v>
      </c>
    </row>
    <row r="12" spans="1:8" s="80" customFormat="1">
      <c r="A12" s="201"/>
      <c r="B12" s="90"/>
      <c r="C12" s="90"/>
      <c r="D12" s="92"/>
      <c r="F12" s="203"/>
      <c r="G12" s="203"/>
      <c r="H12" s="203"/>
    </row>
    <row r="13" spans="1:8" s="80" customFormat="1">
      <c r="A13" s="201" t="s">
        <v>111</v>
      </c>
      <c r="B13" s="90"/>
      <c r="C13" s="90"/>
      <c r="D13" s="92"/>
      <c r="F13" s="204">
        <f>UHF!L12</f>
        <v>0</v>
      </c>
      <c r="G13" s="204">
        <v>-7763848</v>
      </c>
      <c r="H13" s="204">
        <f>F13-G13</f>
        <v>7763848</v>
      </c>
    </row>
    <row r="14" spans="1:8" s="80" customFormat="1">
      <c r="B14" s="90"/>
      <c r="C14" s="90"/>
      <c r="D14" s="205"/>
      <c r="F14" s="93">
        <f>SUM(F11:F13)</f>
        <v>9448.2690000000002</v>
      </c>
      <c r="G14" s="93">
        <f>SUM(G11:G13)</f>
        <v>-5875832</v>
      </c>
      <c r="H14" s="93">
        <f>SUM(H11:H13)</f>
        <v>5885280.2690000003</v>
      </c>
    </row>
    <row r="15" spans="1:8" s="80" customFormat="1">
      <c r="B15" s="90"/>
      <c r="C15" s="90"/>
      <c r="D15" s="205"/>
    </row>
    <row r="16" spans="1:8" s="80" customFormat="1">
      <c r="A16" s="90" t="s">
        <v>44</v>
      </c>
      <c r="C16" s="90"/>
      <c r="D16" s="205"/>
      <c r="F16" s="206">
        <f>UHF!L16</f>
        <v>0</v>
      </c>
      <c r="G16" s="206">
        <v>1377960</v>
      </c>
      <c r="H16" s="206">
        <f>F16-G16</f>
        <v>-1377960</v>
      </c>
    </row>
    <row r="17" spans="1:247" s="80" customFormat="1">
      <c r="A17" s="207"/>
      <c r="C17" s="90"/>
      <c r="D17" s="205"/>
      <c r="F17" s="341">
        <f>+F16+F14+F9</f>
        <v>264773.09299999999</v>
      </c>
      <c r="G17" s="341">
        <f>G9+G14+G16</f>
        <v>36989623</v>
      </c>
      <c r="H17" s="341">
        <f>+H16+H14+H9</f>
        <v>45283537.269000001</v>
      </c>
    </row>
    <row r="18" spans="1:247" s="80" customFormat="1">
      <c r="D18" s="208"/>
    </row>
    <row r="19" spans="1:247">
      <c r="A19" s="80" t="s">
        <v>45</v>
      </c>
      <c r="B19" s="80"/>
      <c r="C19" s="80"/>
      <c r="D19" s="208"/>
      <c r="E19" s="80"/>
      <c r="F19" s="208"/>
      <c r="G19" s="208"/>
      <c r="H19" s="208"/>
      <c r="IM19" s="209" t="s">
        <v>46</v>
      </c>
    </row>
    <row r="20" spans="1:247">
      <c r="A20" s="207" t="s">
        <v>47</v>
      </c>
      <c r="B20" s="80"/>
      <c r="C20" s="80"/>
      <c r="D20" s="208"/>
      <c r="E20" s="80"/>
      <c r="F20" s="208" t="e">
        <f>UHF!#REF!</f>
        <v>#REF!</v>
      </c>
      <c r="G20" s="208">
        <v>3076302</v>
      </c>
      <c r="H20" s="208" t="e">
        <f>F20-G20</f>
        <v>#REF!</v>
      </c>
      <c r="IM20" s="209" t="s">
        <v>46</v>
      </c>
    </row>
    <row r="21" spans="1:247">
      <c r="B21" s="80"/>
      <c r="C21" s="80"/>
      <c r="D21" s="208"/>
      <c r="E21" s="80"/>
      <c r="F21" s="208"/>
      <c r="G21" s="208"/>
      <c r="H21" s="208"/>
      <c r="IM21" s="209" t="s">
        <v>46</v>
      </c>
    </row>
    <row r="22" spans="1:247">
      <c r="A22" s="210" t="s">
        <v>48</v>
      </c>
      <c r="B22" s="90"/>
      <c r="C22" s="90"/>
      <c r="D22" s="93"/>
      <c r="F22" s="211"/>
      <c r="G22" s="211"/>
      <c r="H22" s="211"/>
    </row>
    <row r="23" spans="1:247">
      <c r="A23" s="212" t="s">
        <v>49</v>
      </c>
      <c r="B23" s="90"/>
      <c r="C23" s="90"/>
      <c r="D23" s="93"/>
      <c r="F23" s="211">
        <f>UHF!L21</f>
        <v>-7354.81</v>
      </c>
      <c r="G23" s="211">
        <v>6472300</v>
      </c>
      <c r="H23" s="211">
        <f>F23-G23</f>
        <v>-6479654.8099999996</v>
      </c>
    </row>
    <row r="24" spans="1:247" s="91" customFormat="1">
      <c r="B24" s="90"/>
      <c r="C24" s="90"/>
      <c r="D24" s="93"/>
      <c r="F24" s="211"/>
      <c r="G24" s="211"/>
      <c r="H24" s="21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row>
    <row r="25" spans="1:247">
      <c r="A25" s="55" t="s">
        <v>155</v>
      </c>
      <c r="F25" s="12">
        <f>UHF!L23</f>
        <v>0</v>
      </c>
      <c r="G25" s="12">
        <v>896642</v>
      </c>
      <c r="H25" s="213">
        <f>ROUND(F25-G25,0)</f>
        <v>-896642</v>
      </c>
    </row>
    <row r="26" spans="1:247">
      <c r="F26" s="15"/>
      <c r="G26" s="15"/>
      <c r="H26" s="214"/>
    </row>
    <row r="27" spans="1:247">
      <c r="A27" s="80" t="s">
        <v>50</v>
      </c>
      <c r="F27" s="15"/>
      <c r="G27" s="15"/>
      <c r="H27" s="214"/>
    </row>
    <row r="28" spans="1:247">
      <c r="A28" s="207" t="s">
        <v>51</v>
      </c>
      <c r="F28" s="15">
        <f>UHF!L27</f>
        <v>0</v>
      </c>
      <c r="G28" s="15">
        <v>257237</v>
      </c>
      <c r="H28" s="214">
        <f>ROUND(F28-G28,0)</f>
        <v>-257237</v>
      </c>
    </row>
    <row r="29" spans="1:247">
      <c r="A29" s="207"/>
      <c r="F29" s="15"/>
      <c r="G29" s="15"/>
      <c r="H29" s="214"/>
    </row>
    <row r="30" spans="1:247">
      <c r="A30" s="80" t="s">
        <v>52</v>
      </c>
      <c r="F30" s="15">
        <f>UHF!L29</f>
        <v>1746.7089999999996</v>
      </c>
      <c r="G30" s="15">
        <v>-2118169</v>
      </c>
      <c r="H30" s="214">
        <f>ROUND(F30-G30,0)</f>
        <v>2119916</v>
      </c>
    </row>
    <row r="31" spans="1:247">
      <c r="F31" s="15"/>
      <c r="G31" s="15"/>
      <c r="H31" s="214"/>
    </row>
    <row r="32" spans="1:247">
      <c r="A32" s="215" t="s">
        <v>53</v>
      </c>
      <c r="F32" s="15"/>
      <c r="G32" s="15"/>
      <c r="H32" s="214"/>
    </row>
    <row r="33" spans="1:247">
      <c r="A33" s="23"/>
      <c r="F33" s="216">
        <f>UHF!L32</f>
        <v>0</v>
      </c>
      <c r="G33" s="216">
        <v>-4797718</v>
      </c>
      <c r="H33" s="217">
        <f>F33-G33</f>
        <v>4797718</v>
      </c>
    </row>
    <row r="34" spans="1:247">
      <c r="F34" s="218">
        <f>SUM(F25:F33)</f>
        <v>1746.7089999999996</v>
      </c>
      <c r="G34" s="218">
        <f>SUM(G25:G33)</f>
        <v>-5762008</v>
      </c>
      <c r="H34" s="95">
        <f>ROUND(SUM(H25:H33),0)</f>
        <v>5763755</v>
      </c>
    </row>
    <row r="35" spans="1:247">
      <c r="F35" s="80"/>
      <c r="G35" s="80"/>
    </row>
    <row r="36" spans="1:247" s="91" customFormat="1" ht="12.75" thickBot="1">
      <c r="A36" s="219" t="s">
        <v>75</v>
      </c>
      <c r="B36" s="87"/>
      <c r="C36" s="87"/>
      <c r="D36" s="93"/>
      <c r="F36" s="342" t="e">
        <f>F17+F20+F23+F34</f>
        <v>#REF!</v>
      </c>
      <c r="G36" s="342">
        <f>ROUNDUP(G17+G20+G23+G34,0)</f>
        <v>40776217</v>
      </c>
      <c r="H36" s="342" t="e">
        <f>ROUND(H17+H20+H23+H34,0)</f>
        <v>#REF!</v>
      </c>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row>
    <row r="37" spans="1:247" s="91" customFormat="1" ht="12.75" thickTop="1">
      <c r="A37" s="94"/>
      <c r="B37" s="94"/>
      <c r="C37" s="94"/>
      <c r="D37" s="94"/>
      <c r="E37" s="94"/>
      <c r="F37" s="94"/>
      <c r="G37" s="94"/>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row>
    <row r="38" spans="1:247" s="91" customFormat="1">
      <c r="A38" s="94"/>
      <c r="B38" s="94"/>
      <c r="C38" s="94"/>
      <c r="D38" s="94"/>
      <c r="E38" s="94"/>
      <c r="F38" s="128"/>
      <c r="G38" s="128"/>
      <c r="H38" s="128"/>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row>
    <row r="39" spans="1:247" s="4" customFormat="1">
      <c r="E39" s="5"/>
      <c r="F39" s="13"/>
      <c r="G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row>
    <row r="40" spans="1:247" s="4" customFormat="1">
      <c r="E40" s="5"/>
      <c r="F40" s="6"/>
      <c r="G40" s="6"/>
      <c r="H40" s="92"/>
      <c r="I40" s="81"/>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row>
    <row r="41" spans="1:247" s="4" customFormat="1">
      <c r="E41" s="5"/>
      <c r="F41" s="13"/>
      <c r="G41" s="13"/>
      <c r="H41" s="92"/>
      <c r="I41" s="81"/>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row>
    <row r="42" spans="1:247" s="25" customFormat="1">
      <c r="E42" s="35"/>
      <c r="F42" s="6"/>
      <c r="G42" s="6"/>
      <c r="H42" s="13"/>
      <c r="I42" s="13"/>
    </row>
    <row r="43" spans="1:247" s="25" customFormat="1">
      <c r="E43" s="35"/>
      <c r="F43" s="6"/>
      <c r="G43" s="6"/>
      <c r="H43" s="13"/>
      <c r="I43" s="13"/>
    </row>
    <row r="44" spans="1:247" s="25" customFormat="1">
      <c r="E44" s="35"/>
      <c r="F44" s="6"/>
      <c r="G44" s="6"/>
      <c r="H44" s="38"/>
    </row>
    <row r="45" spans="1:247" s="25" customFormat="1">
      <c r="E45" s="35"/>
      <c r="F45" s="6"/>
      <c r="G45" s="6"/>
      <c r="H45" s="38"/>
    </row>
    <row r="46" spans="1:247" s="25" customFormat="1">
      <c r="E46" s="35"/>
      <c r="F46" s="6"/>
      <c r="G46" s="6"/>
      <c r="H46" s="38"/>
    </row>
    <row r="47" spans="1:247">
      <c r="H47" s="38"/>
      <c r="I47" s="25"/>
    </row>
    <row r="48" spans="1:247">
      <c r="H48" s="38"/>
      <c r="I48" s="25"/>
    </row>
  </sheetData>
  <customSheetViews>
    <customSheetView guid="{84FBBE83-FF6F-4C76-A58E-D04643F715A5}" scale="90" showPageBreaks="1" printArea="1" view="pageBreakPreview">
      <selection activeCell="H1" sqref="H1"/>
      <pageMargins left="0.75" right="0.5" top="0.5" bottom="0.25" header="0.5" footer="0.5"/>
      <printOptions horizontalCentered="1"/>
      <pageSetup paperSize="9" scale="78" orientation="portrait" horizontalDpi="1200" verticalDpi="1200" r:id="rId1"/>
      <headerFooter alignWithMargins="0"/>
    </customSheetView>
  </customSheetViews>
  <phoneticPr fontId="0" type="noConversion"/>
  <printOptions horizontalCentered="1"/>
  <pageMargins left="0.75" right="0.5" top="0.5" bottom="0.25" header="0.5" footer="0.5"/>
  <pageSetup paperSize="9" scale="78" orientation="portrait" horizontalDpi="1200" verticalDpi="1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14"/>
  </sheetPr>
  <dimension ref="A1:Q323"/>
  <sheetViews>
    <sheetView view="pageBreakPreview" zoomScaleSheetLayoutView="100" workbookViewId="0">
      <selection activeCell="A20" sqref="A20"/>
    </sheetView>
  </sheetViews>
  <sheetFormatPr defaultRowHeight="12"/>
  <cols>
    <col min="1" max="1" width="5.125" style="4" customWidth="1"/>
    <col min="2" max="2" width="3.625" style="4" customWidth="1"/>
    <col min="3" max="3" width="39.625" style="4" customWidth="1"/>
    <col min="4" max="4" width="0.875" style="4" customWidth="1"/>
    <col min="5" max="5" width="10.125" style="4" customWidth="1"/>
    <col min="6" max="6" width="0.75" style="9" customWidth="1"/>
    <col min="7" max="7" width="10.125" style="384" customWidth="1"/>
    <col min="8" max="8" width="0.375" style="384" customWidth="1"/>
    <col min="9" max="9" width="10.125" style="384" customWidth="1"/>
    <col min="10" max="10" width="0.375" style="384" customWidth="1"/>
    <col min="11" max="11" width="10.125" style="9" customWidth="1"/>
    <col min="12" max="12" width="0.375" style="9" customWidth="1"/>
    <col min="13" max="16384" width="9" style="25"/>
  </cols>
  <sheetData>
    <row r="1" spans="1:17">
      <c r="A1" s="2" t="s">
        <v>267</v>
      </c>
      <c r="B1" s="2"/>
      <c r="C1" s="2"/>
      <c r="D1" s="2"/>
      <c r="E1" s="2"/>
      <c r="F1" s="2"/>
      <c r="G1" s="2"/>
      <c r="H1" s="2"/>
      <c r="I1" s="2"/>
      <c r="J1" s="2"/>
      <c r="K1" s="2"/>
      <c r="L1" s="2"/>
    </row>
    <row r="2" spans="1:17">
      <c r="A2" s="462" t="s">
        <v>254</v>
      </c>
      <c r="B2" s="2"/>
      <c r="C2" s="2"/>
      <c r="D2" s="2"/>
      <c r="E2" s="2"/>
      <c r="F2" s="2"/>
      <c r="G2" s="2"/>
      <c r="H2" s="2"/>
      <c r="I2" s="2"/>
      <c r="J2" s="2"/>
      <c r="K2" s="2"/>
      <c r="L2" s="2"/>
    </row>
    <row r="3" spans="1:17">
      <c r="A3" s="2" t="s">
        <v>318</v>
      </c>
      <c r="B3" s="2"/>
      <c r="C3" s="2"/>
      <c r="D3" s="2"/>
      <c r="E3" s="2"/>
      <c r="F3" s="2"/>
      <c r="G3" s="2"/>
      <c r="H3" s="2"/>
      <c r="I3" s="2"/>
      <c r="J3" s="2"/>
      <c r="K3" s="2"/>
      <c r="L3" s="2"/>
    </row>
    <row r="4" spans="1:17">
      <c r="A4" s="2"/>
      <c r="B4" s="2"/>
      <c r="C4" s="2"/>
      <c r="D4" s="2"/>
      <c r="E4" s="718" t="s">
        <v>404</v>
      </c>
      <c r="F4" s="718"/>
      <c r="G4" s="718"/>
      <c r="H4" s="718"/>
      <c r="I4" s="718"/>
      <c r="J4" s="718"/>
      <c r="K4" s="718"/>
      <c r="L4" s="2"/>
    </row>
    <row r="5" spans="1:17" s="135" customFormat="1" ht="36">
      <c r="A5" s="26"/>
      <c r="B5" s="26"/>
      <c r="C5" s="26"/>
      <c r="D5" s="33"/>
      <c r="E5" s="494" t="s">
        <v>323</v>
      </c>
      <c r="F5" s="4"/>
      <c r="G5" s="494" t="s">
        <v>324</v>
      </c>
      <c r="H5" s="4"/>
      <c r="I5" s="507" t="s">
        <v>325</v>
      </c>
      <c r="J5" s="538"/>
      <c r="K5" s="507" t="s">
        <v>215</v>
      </c>
      <c r="L5" s="137"/>
    </row>
    <row r="6" spans="1:17" s="135" customFormat="1">
      <c r="A6" s="26"/>
      <c r="B6" s="26"/>
      <c r="C6" s="26"/>
      <c r="D6" s="395"/>
      <c r="E6" s="719" t="s">
        <v>405</v>
      </c>
      <c r="F6" s="720"/>
      <c r="G6" s="720"/>
      <c r="H6" s="720"/>
      <c r="I6" s="720"/>
      <c r="J6" s="720"/>
      <c r="K6" s="720"/>
      <c r="L6" s="137"/>
    </row>
    <row r="7" spans="1:17" s="135" customFormat="1">
      <c r="A7" s="20" t="s">
        <v>96</v>
      </c>
      <c r="B7" s="25"/>
      <c r="C7" s="25"/>
      <c r="D7" s="25"/>
      <c r="E7" s="717" t="s">
        <v>406</v>
      </c>
      <c r="F7" s="717"/>
      <c r="G7" s="717"/>
      <c r="H7" s="717"/>
      <c r="I7" s="717"/>
      <c r="J7" s="717"/>
      <c r="K7" s="717"/>
      <c r="L7" s="361"/>
    </row>
    <row r="8" spans="1:17" s="135" customFormat="1" ht="8.1" customHeight="1">
      <c r="A8" s="23"/>
      <c r="B8" s="4"/>
      <c r="C8" s="4"/>
      <c r="D8" s="9"/>
      <c r="E8" s="6"/>
      <c r="F8" s="9"/>
      <c r="G8" s="384"/>
      <c r="H8" s="384"/>
      <c r="I8" s="384"/>
      <c r="J8" s="384"/>
      <c r="K8" s="9"/>
      <c r="L8" s="169"/>
      <c r="O8" s="170"/>
      <c r="Q8" s="139"/>
    </row>
    <row r="9" spans="1:17" s="135" customFormat="1">
      <c r="A9" s="215" t="s">
        <v>423</v>
      </c>
      <c r="B9" s="4"/>
      <c r="C9" s="4"/>
      <c r="D9" s="9"/>
      <c r="E9" s="6">
        <v>760.02700000000004</v>
      </c>
      <c r="F9" s="9"/>
      <c r="G9" s="6">
        <v>510.42500000000007</v>
      </c>
      <c r="H9" s="384"/>
      <c r="I9" s="6">
        <v>476.25699999999995</v>
      </c>
      <c r="J9" s="384"/>
      <c r="K9" s="6">
        <v>1746.7089999999996</v>
      </c>
      <c r="L9" s="139"/>
      <c r="O9" s="170"/>
    </row>
    <row r="10" spans="1:17" s="135" customFormat="1">
      <c r="A10" s="234" t="s">
        <v>15</v>
      </c>
      <c r="B10" s="307"/>
      <c r="C10" s="307"/>
      <c r="D10" s="307"/>
      <c r="E10" s="6"/>
      <c r="F10" s="372"/>
      <c r="G10" s="372"/>
      <c r="H10" s="372"/>
      <c r="I10" s="372"/>
      <c r="J10" s="372"/>
      <c r="K10" s="13"/>
      <c r="L10" s="142"/>
      <c r="O10" s="170"/>
    </row>
    <row r="11" spans="1:17" s="135" customFormat="1">
      <c r="A11" s="230"/>
      <c r="B11" s="48"/>
      <c r="C11" s="48"/>
      <c r="D11" s="373"/>
      <c r="E11" s="12"/>
      <c r="F11" s="372"/>
      <c r="G11" s="12"/>
      <c r="H11" s="372"/>
      <c r="I11" s="12"/>
      <c r="J11" s="372"/>
      <c r="K11" s="12"/>
      <c r="L11" s="142"/>
      <c r="O11" s="170"/>
    </row>
    <row r="12" spans="1:17" s="135" customFormat="1">
      <c r="A12" s="235" t="s">
        <v>64</v>
      </c>
      <c r="B12" s="307"/>
      <c r="C12" s="307"/>
      <c r="D12" s="43"/>
      <c r="E12" s="15">
        <v>-66930.332999999999</v>
      </c>
      <c r="F12" s="29"/>
      <c r="G12" s="15">
        <v>0</v>
      </c>
      <c r="H12" s="29"/>
      <c r="I12" s="15">
        <v>0</v>
      </c>
      <c r="J12" s="29"/>
      <c r="K12" s="15">
        <v>-66930.332999999999</v>
      </c>
      <c r="L12" s="142"/>
      <c r="O12" s="170"/>
    </row>
    <row r="13" spans="1:17" s="135" customFormat="1">
      <c r="A13" s="235" t="s">
        <v>166</v>
      </c>
      <c r="B13" s="307"/>
      <c r="C13" s="307"/>
      <c r="D13" s="43"/>
      <c r="E13" s="15">
        <v>-1103.8430000000001</v>
      </c>
      <c r="F13" s="29"/>
      <c r="G13" s="15">
        <v>-333.69000000000005</v>
      </c>
      <c r="H13" s="29"/>
      <c r="I13" s="15">
        <v>-473.23199999999997</v>
      </c>
      <c r="J13" s="29"/>
      <c r="K13" s="15">
        <v>-1910.7650000000001</v>
      </c>
      <c r="L13" s="142"/>
      <c r="O13" s="170"/>
    </row>
    <row r="14" spans="1:17" s="135" customFormat="1">
      <c r="A14" s="235" t="s">
        <v>481</v>
      </c>
      <c r="B14" s="307"/>
      <c r="C14" s="307"/>
      <c r="D14" s="43"/>
      <c r="E14" s="15">
        <v>7.2169999999999987</v>
      </c>
      <c r="F14" s="29"/>
      <c r="G14" s="15">
        <v>7.2169999999999987</v>
      </c>
      <c r="H14" s="29"/>
      <c r="I14" s="15">
        <v>6.2169999999999987</v>
      </c>
      <c r="J14" s="29"/>
      <c r="K14" s="15">
        <v>20.650999999999996</v>
      </c>
      <c r="L14" s="142"/>
      <c r="O14" s="170"/>
    </row>
    <row r="15" spans="1:17" s="135" customFormat="1">
      <c r="A15" s="235" t="s">
        <v>122</v>
      </c>
      <c r="B15" s="307"/>
      <c r="C15" s="307"/>
      <c r="D15" s="43"/>
      <c r="E15" s="15">
        <v>10000</v>
      </c>
      <c r="F15" s="29"/>
      <c r="G15" s="15">
        <v>0</v>
      </c>
      <c r="H15" s="29"/>
      <c r="I15" s="15">
        <v>0</v>
      </c>
      <c r="J15" s="29"/>
      <c r="K15" s="17">
        <v>10000</v>
      </c>
      <c r="L15" s="142"/>
      <c r="O15" s="170"/>
    </row>
    <row r="16" spans="1:17" s="135" customFormat="1">
      <c r="A16" s="25"/>
      <c r="B16" s="48"/>
      <c r="C16" s="48"/>
      <c r="D16" s="373"/>
      <c r="E16" s="97">
        <v>-58026.958999999988</v>
      </c>
      <c r="F16" s="372"/>
      <c r="G16" s="97">
        <v>-326.47300000000007</v>
      </c>
      <c r="H16" s="372"/>
      <c r="I16" s="97">
        <v>-467.01499999999999</v>
      </c>
      <c r="J16" s="372"/>
      <c r="K16" s="97">
        <v>-58820.447</v>
      </c>
      <c r="L16" s="142"/>
      <c r="O16" s="170"/>
    </row>
    <row r="17" spans="1:15" s="135" customFormat="1">
      <c r="A17" s="234" t="s">
        <v>84</v>
      </c>
      <c r="B17" s="48"/>
      <c r="C17" s="48"/>
      <c r="D17" s="373"/>
      <c r="E17" s="13"/>
      <c r="F17" s="372"/>
      <c r="G17" s="13"/>
      <c r="H17" s="372"/>
      <c r="I17" s="13"/>
      <c r="J17" s="372"/>
      <c r="K17" s="13"/>
      <c r="L17" s="142"/>
      <c r="O17" s="170"/>
    </row>
    <row r="18" spans="1:15" s="135" customFormat="1">
      <c r="A18" s="235" t="s">
        <v>152</v>
      </c>
      <c r="B18" s="48"/>
      <c r="C18" s="48"/>
      <c r="D18" s="373"/>
      <c r="E18" s="13"/>
      <c r="F18" s="372"/>
      <c r="G18" s="13"/>
      <c r="H18" s="372"/>
      <c r="I18" s="13"/>
      <c r="J18" s="372"/>
      <c r="K18" s="13"/>
      <c r="L18" s="142"/>
      <c r="O18" s="170"/>
    </row>
    <row r="19" spans="1:15" s="135" customFormat="1">
      <c r="A19" s="374" t="s">
        <v>488</v>
      </c>
      <c r="B19" s="48"/>
      <c r="C19" s="48"/>
      <c r="D19" s="373"/>
      <c r="E19" s="12">
        <v>86.862999999999829</v>
      </c>
      <c r="F19" s="372"/>
      <c r="G19" s="12">
        <v>57.441000000000031</v>
      </c>
      <c r="H19" s="372"/>
      <c r="I19" s="12">
        <v>61.730999999999995</v>
      </c>
      <c r="J19" s="372"/>
      <c r="K19" s="12">
        <v>206.03499999999985</v>
      </c>
      <c r="L19" s="142"/>
      <c r="O19" s="170"/>
    </row>
    <row r="20" spans="1:15" s="135" customFormat="1">
      <c r="A20" s="235" t="s">
        <v>242</v>
      </c>
      <c r="B20" s="48"/>
      <c r="C20" s="48"/>
      <c r="D20" s="373"/>
      <c r="E20" s="15">
        <v>8.0269999999999992</v>
      </c>
      <c r="F20" s="372"/>
      <c r="G20" s="15">
        <v>5.9450000000000003</v>
      </c>
      <c r="H20" s="372"/>
      <c r="I20" s="15">
        <v>6.4640000000000004</v>
      </c>
      <c r="J20" s="372"/>
      <c r="K20" s="15">
        <v>20.436</v>
      </c>
      <c r="L20" s="142"/>
      <c r="O20" s="170"/>
    </row>
    <row r="21" spans="1:15" s="135" customFormat="1">
      <c r="A21" s="235" t="s">
        <v>153</v>
      </c>
      <c r="B21" s="48"/>
      <c r="C21" s="48"/>
      <c r="D21" s="373"/>
      <c r="E21" s="15"/>
      <c r="F21" s="372"/>
      <c r="G21" s="15"/>
      <c r="H21" s="372"/>
      <c r="I21" s="15"/>
      <c r="J21" s="372"/>
      <c r="K21" s="15">
        <v>0</v>
      </c>
      <c r="L21" s="142"/>
      <c r="O21" s="170"/>
    </row>
    <row r="22" spans="1:15" s="135" customFormat="1">
      <c r="A22" s="230" t="s">
        <v>154</v>
      </c>
      <c r="B22" s="48"/>
      <c r="C22" s="48"/>
      <c r="D22" s="373"/>
      <c r="E22" s="15">
        <v>7.4480000000000004</v>
      </c>
      <c r="F22" s="372"/>
      <c r="G22" s="15">
        <v>5.407</v>
      </c>
      <c r="H22" s="372"/>
      <c r="I22" s="15">
        <v>5.6970000000000001</v>
      </c>
      <c r="J22" s="372"/>
      <c r="K22" s="15">
        <v>18.552</v>
      </c>
      <c r="L22" s="142"/>
      <c r="O22" s="170"/>
    </row>
    <row r="23" spans="1:15" s="135" customFormat="1">
      <c r="A23" s="235" t="s">
        <v>202</v>
      </c>
      <c r="B23" s="48"/>
      <c r="C23" s="48"/>
      <c r="D23" s="373"/>
      <c r="E23" s="15">
        <v>-9563</v>
      </c>
      <c r="F23" s="372"/>
      <c r="G23" s="15">
        <v>0</v>
      </c>
      <c r="H23" s="372"/>
      <c r="I23" s="15">
        <v>0</v>
      </c>
      <c r="J23" s="372"/>
      <c r="K23" s="15">
        <v>-9563</v>
      </c>
      <c r="L23" s="142"/>
      <c r="O23" s="170"/>
    </row>
    <row r="24" spans="1:15" s="135" customFormat="1">
      <c r="A24" s="235" t="s">
        <v>91</v>
      </c>
      <c r="B24" s="48"/>
      <c r="C24" s="48"/>
      <c r="D24" s="373"/>
      <c r="E24" s="17">
        <v>317.23700000000002</v>
      </c>
      <c r="F24" s="372"/>
      <c r="G24" s="17">
        <v>92.494</v>
      </c>
      <c r="H24" s="372"/>
      <c r="I24" s="17">
        <v>94.656000000000006</v>
      </c>
      <c r="J24" s="372"/>
      <c r="K24" s="17">
        <v>504.387</v>
      </c>
      <c r="L24" s="142"/>
      <c r="O24" s="170"/>
    </row>
    <row r="25" spans="1:15" s="135" customFormat="1">
      <c r="A25" s="234"/>
      <c r="B25" s="48"/>
      <c r="C25" s="48"/>
      <c r="D25" s="373"/>
      <c r="E25" s="13">
        <v>-9143</v>
      </c>
      <c r="F25" s="372"/>
      <c r="G25" s="13">
        <v>161</v>
      </c>
      <c r="H25" s="372"/>
      <c r="I25" s="13">
        <v>169</v>
      </c>
      <c r="J25" s="372"/>
      <c r="K25" s="13">
        <v>-8814</v>
      </c>
      <c r="L25" s="142"/>
      <c r="O25" s="170"/>
    </row>
    <row r="26" spans="1:15" s="135" customFormat="1">
      <c r="A26" s="237" t="s">
        <v>227</v>
      </c>
      <c r="B26" s="48"/>
      <c r="C26" s="48"/>
      <c r="D26" s="373"/>
      <c r="E26" s="97">
        <v>-66410</v>
      </c>
      <c r="F26" s="29"/>
      <c r="G26" s="97">
        <v>345</v>
      </c>
      <c r="H26" s="29"/>
      <c r="I26" s="97">
        <v>178</v>
      </c>
      <c r="J26" s="29"/>
      <c r="K26" s="97">
        <v>-65888</v>
      </c>
      <c r="L26" s="142"/>
      <c r="O26" s="170"/>
    </row>
    <row r="27" spans="1:15" s="135" customFormat="1" ht="3.75" customHeight="1">
      <c r="A27" s="237"/>
      <c r="B27" s="48"/>
      <c r="C27" s="48"/>
      <c r="D27" s="373"/>
      <c r="E27" s="13"/>
      <c r="F27" s="29"/>
      <c r="G27" s="13"/>
      <c r="H27" s="29"/>
      <c r="I27" s="13"/>
      <c r="J27" s="29"/>
      <c r="K27" s="13"/>
      <c r="L27" s="142"/>
      <c r="O27" s="170"/>
    </row>
    <row r="28" spans="1:15" s="135" customFormat="1">
      <c r="A28" s="237" t="s">
        <v>131</v>
      </c>
      <c r="B28" s="48"/>
      <c r="C28" s="48"/>
      <c r="D28" s="373"/>
      <c r="E28" s="13"/>
      <c r="F28" s="29"/>
      <c r="G28" s="13"/>
      <c r="H28" s="29"/>
      <c r="I28" s="13"/>
      <c r="J28" s="29"/>
      <c r="K28" s="13"/>
      <c r="L28" s="142"/>
      <c r="O28" s="170"/>
    </row>
    <row r="29" spans="1:15" s="135" customFormat="1" ht="5.25" customHeight="1">
      <c r="A29" s="237"/>
      <c r="B29" s="48"/>
      <c r="C29" s="48"/>
      <c r="D29" s="373"/>
      <c r="E29" s="13"/>
      <c r="F29" s="29"/>
      <c r="G29" s="13"/>
      <c r="H29" s="29"/>
      <c r="I29" s="13"/>
      <c r="J29" s="29"/>
      <c r="K29" s="13"/>
      <c r="L29" s="142"/>
      <c r="O29" s="170"/>
    </row>
    <row r="30" spans="1:15" s="135" customFormat="1">
      <c r="A30" s="80" t="s">
        <v>198</v>
      </c>
      <c r="B30" s="48"/>
      <c r="C30" s="48"/>
      <c r="D30" s="373"/>
      <c r="E30" s="225">
        <v>3936.9690000000001</v>
      </c>
      <c r="F30" s="29"/>
      <c r="G30" s="225">
        <v>2233</v>
      </c>
      <c r="H30" s="29"/>
      <c r="I30" s="225">
        <v>3278.3</v>
      </c>
      <c r="J30" s="29"/>
      <c r="K30" s="225">
        <v>9448.2690000000002</v>
      </c>
      <c r="L30" s="142"/>
      <c r="O30" s="170"/>
    </row>
    <row r="31" spans="1:15" s="135" customFormat="1">
      <c r="A31" s="238" t="s">
        <v>228</v>
      </c>
      <c r="B31" s="48"/>
      <c r="C31" s="48"/>
      <c r="D31" s="373"/>
      <c r="E31" s="13">
        <v>3937</v>
      </c>
      <c r="F31" s="29"/>
      <c r="G31" s="13">
        <v>2233</v>
      </c>
      <c r="H31" s="29"/>
      <c r="I31" s="13">
        <v>3278</v>
      </c>
      <c r="J31" s="29"/>
      <c r="K31" s="13">
        <v>9448</v>
      </c>
      <c r="L31" s="142"/>
      <c r="O31" s="170"/>
    </row>
    <row r="32" spans="1:15" s="135" customFormat="1" ht="8.1" customHeight="1">
      <c r="A32" s="201"/>
      <c r="B32" s="48"/>
      <c r="C32" s="48"/>
      <c r="D32" s="373"/>
      <c r="E32" s="13"/>
      <c r="F32" s="29"/>
      <c r="G32" s="13"/>
      <c r="H32" s="29"/>
      <c r="I32" s="13"/>
      <c r="J32" s="29"/>
      <c r="K32" s="13"/>
      <c r="L32" s="142"/>
      <c r="O32" s="170"/>
    </row>
    <row r="33" spans="1:17" s="135" customFormat="1">
      <c r="A33" s="237" t="s">
        <v>229</v>
      </c>
      <c r="B33" s="48"/>
      <c r="C33" s="48"/>
      <c r="D33" s="373"/>
      <c r="E33" s="13"/>
      <c r="F33" s="29"/>
      <c r="G33" s="13"/>
      <c r="H33" s="29"/>
      <c r="I33" s="13"/>
      <c r="J33" s="29"/>
      <c r="K33" s="13"/>
      <c r="L33" s="142"/>
      <c r="O33" s="170"/>
    </row>
    <row r="34" spans="1:17" s="135" customFormat="1">
      <c r="A34" s="239" t="s">
        <v>164</v>
      </c>
      <c r="B34" s="48"/>
      <c r="C34" s="48"/>
      <c r="D34" s="373"/>
      <c r="E34" s="97">
        <v>-62473</v>
      </c>
      <c r="F34" s="29"/>
      <c r="G34" s="97">
        <v>2578</v>
      </c>
      <c r="H34" s="29"/>
      <c r="I34" s="97">
        <v>3456</v>
      </c>
      <c r="J34" s="29"/>
      <c r="K34" s="97">
        <v>-56440</v>
      </c>
      <c r="L34" s="142"/>
      <c r="O34" s="170"/>
    </row>
    <row r="35" spans="1:17" s="135" customFormat="1" ht="8.1" customHeight="1">
      <c r="A35" s="233"/>
      <c r="B35" s="48"/>
      <c r="C35" s="48"/>
      <c r="D35" s="373"/>
      <c r="E35" s="13"/>
      <c r="F35" s="29"/>
      <c r="G35" s="13"/>
      <c r="H35" s="29"/>
      <c r="I35" s="13"/>
      <c r="J35" s="29"/>
      <c r="K35" s="13"/>
      <c r="L35" s="142"/>
      <c r="O35" s="170"/>
    </row>
    <row r="36" spans="1:17" s="135" customFormat="1">
      <c r="A36" s="80" t="s">
        <v>144</v>
      </c>
      <c r="B36" s="48"/>
      <c r="C36" s="48"/>
      <c r="D36" s="373"/>
      <c r="E36" s="13">
        <v>74247</v>
      </c>
      <c r="F36" s="29"/>
      <c r="G36" s="13">
        <v>75736</v>
      </c>
      <c r="H36" s="29"/>
      <c r="I36" s="13">
        <v>78562</v>
      </c>
      <c r="J36" s="29"/>
      <c r="K36" s="13">
        <v>228545</v>
      </c>
      <c r="L36" s="142"/>
      <c r="M36" s="285"/>
      <c r="O36" s="170"/>
    </row>
    <row r="37" spans="1:17" s="135" customFormat="1" ht="8.1" customHeight="1">
      <c r="A37" s="80"/>
      <c r="B37" s="48"/>
      <c r="C37" s="48"/>
      <c r="D37" s="373"/>
      <c r="E37" s="6"/>
      <c r="F37" s="29"/>
      <c r="G37" s="6"/>
      <c r="H37" s="29"/>
      <c r="I37" s="6"/>
      <c r="J37" s="29"/>
      <c r="K37" s="6"/>
      <c r="L37" s="142"/>
      <c r="O37" s="170"/>
    </row>
    <row r="38" spans="1:17" s="135" customFormat="1" ht="12.75" thickBot="1">
      <c r="A38" s="237" t="s">
        <v>145</v>
      </c>
      <c r="B38" s="48"/>
      <c r="C38" s="48"/>
      <c r="D38" s="48"/>
      <c r="E38" s="21">
        <v>11774</v>
      </c>
      <c r="F38" s="13"/>
      <c r="G38" s="21">
        <v>78314</v>
      </c>
      <c r="H38" s="13"/>
      <c r="I38" s="21">
        <v>82018</v>
      </c>
      <c r="J38" s="13"/>
      <c r="K38" s="21">
        <v>172105</v>
      </c>
      <c r="L38" s="142"/>
      <c r="O38" s="170"/>
    </row>
    <row r="39" spans="1:17" s="135" customFormat="1" ht="8.1" customHeight="1" thickTop="1">
      <c r="A39" s="80"/>
      <c r="B39" s="48"/>
      <c r="C39" s="48"/>
      <c r="D39" s="48"/>
      <c r="E39" s="6"/>
      <c r="F39" s="13"/>
      <c r="G39" s="6"/>
      <c r="H39" s="13"/>
      <c r="I39" s="6"/>
      <c r="J39" s="13"/>
      <c r="K39" s="6"/>
      <c r="L39" s="142"/>
      <c r="O39" s="170"/>
    </row>
    <row r="40" spans="1:17" s="135" customFormat="1" hidden="1">
      <c r="A40" s="237" t="s">
        <v>145</v>
      </c>
      <c r="B40" s="48"/>
      <c r="C40" s="48"/>
      <c r="D40" s="48"/>
      <c r="E40" s="6"/>
      <c r="F40" s="13"/>
      <c r="G40" s="6"/>
      <c r="H40" s="13"/>
      <c r="I40" s="6"/>
      <c r="J40" s="13"/>
      <c r="K40" s="6"/>
      <c r="L40" s="142"/>
      <c r="O40" s="170"/>
    </row>
    <row r="41" spans="1:17" s="135" customFormat="1" hidden="1">
      <c r="A41" s="4" t="s">
        <v>134</v>
      </c>
      <c r="B41" s="48"/>
      <c r="C41" s="48"/>
      <c r="D41" s="11"/>
      <c r="E41" s="6">
        <v>11773.681</v>
      </c>
      <c r="F41" s="13"/>
      <c r="G41" s="6">
        <v>78314.826000000001</v>
      </c>
      <c r="H41" s="13"/>
      <c r="I41" s="6">
        <v>82018.273000000001</v>
      </c>
      <c r="J41" s="13"/>
      <c r="K41" s="6">
        <v>172106.78</v>
      </c>
      <c r="L41" s="142"/>
      <c r="O41" s="170"/>
    </row>
    <row r="42" spans="1:17" s="135" customFormat="1" hidden="1">
      <c r="A42" s="4" t="s">
        <v>138</v>
      </c>
      <c r="B42" s="48"/>
      <c r="C42" s="48"/>
      <c r="D42" s="84"/>
      <c r="E42" s="6">
        <v>0</v>
      </c>
      <c r="F42" s="13"/>
      <c r="G42" s="6">
        <v>0</v>
      </c>
      <c r="H42" s="13"/>
      <c r="I42" s="6">
        <v>0</v>
      </c>
      <c r="J42" s="13"/>
      <c r="K42" s="6">
        <v>0</v>
      </c>
      <c r="L42" s="142"/>
      <c r="O42" s="170"/>
    </row>
    <row r="43" spans="1:17" s="135" customFormat="1" ht="12.75" hidden="1" thickBot="1">
      <c r="A43" s="25"/>
      <c r="B43" s="48"/>
      <c r="C43" s="177"/>
      <c r="D43" s="48"/>
      <c r="E43" s="21">
        <v>11773.681</v>
      </c>
      <c r="F43" s="13"/>
      <c r="G43" s="21">
        <v>78314.826000000001</v>
      </c>
      <c r="H43" s="13"/>
      <c r="I43" s="21">
        <v>82018.273000000001</v>
      </c>
      <c r="J43" s="13"/>
      <c r="K43" s="21">
        <v>172106.78</v>
      </c>
      <c r="L43" s="142"/>
      <c r="M43" s="141">
        <v>0.31899999999950523</v>
      </c>
      <c r="O43" s="141">
        <v>-0.82600000000093132</v>
      </c>
      <c r="Q43" s="141">
        <v>-0.27300000000104774</v>
      </c>
    </row>
    <row r="44" spans="1:17" s="135" customFormat="1" ht="6.75" customHeight="1">
      <c r="A44" s="50"/>
      <c r="B44" s="48"/>
      <c r="C44" s="177"/>
      <c r="D44" s="48"/>
      <c r="E44" s="14"/>
      <c r="F44" s="42"/>
      <c r="G44" s="42"/>
      <c r="H44" s="42"/>
      <c r="I44" s="42"/>
      <c r="J44" s="42"/>
      <c r="K44" s="42"/>
      <c r="L44" s="42"/>
      <c r="O44" s="170"/>
    </row>
    <row r="45" spans="1:17">
      <c r="A45" s="57" t="s">
        <v>480</v>
      </c>
      <c r="B45" s="281"/>
      <c r="C45" s="281"/>
      <c r="D45" s="281"/>
      <c r="E45" s="281"/>
      <c r="F45" s="281"/>
      <c r="G45" s="281"/>
      <c r="H45" s="281"/>
      <c r="I45" s="281"/>
      <c r="J45" s="281"/>
      <c r="K45" s="281"/>
      <c r="L45" s="13"/>
      <c r="O45" s="79"/>
    </row>
    <row r="46" spans="1:17" s="4" customFormat="1">
      <c r="E46" s="279"/>
      <c r="F46" s="279"/>
      <c r="G46" s="279"/>
      <c r="H46" s="279"/>
      <c r="I46" s="279"/>
      <c r="J46" s="279"/>
      <c r="K46" s="279"/>
      <c r="L46" s="13"/>
    </row>
    <row r="47" spans="1:17" s="4" customFormat="1">
      <c r="E47" s="279"/>
      <c r="F47" s="279"/>
      <c r="G47" s="279"/>
      <c r="H47" s="279"/>
      <c r="I47" s="279"/>
      <c r="J47" s="279"/>
      <c r="K47" s="279"/>
      <c r="L47" s="13"/>
    </row>
    <row r="48" spans="1:17" s="4" customFormat="1">
      <c r="E48" s="279"/>
      <c r="F48" s="279"/>
      <c r="G48" s="279"/>
      <c r="H48" s="279"/>
      <c r="I48" s="279"/>
      <c r="J48" s="279"/>
      <c r="K48" s="279"/>
      <c r="L48" s="13"/>
    </row>
    <row r="49" spans="1:12" s="4" customFormat="1">
      <c r="E49" s="279"/>
      <c r="F49" s="279"/>
      <c r="G49" s="279"/>
      <c r="H49" s="279"/>
      <c r="I49" s="279"/>
      <c r="J49" s="279"/>
      <c r="K49" s="279"/>
      <c r="L49" s="13"/>
    </row>
    <row r="50" spans="1:12" s="4" customFormat="1" ht="6" customHeight="1">
      <c r="E50" s="291"/>
      <c r="F50" s="278"/>
      <c r="G50" s="278"/>
      <c r="H50" s="278"/>
      <c r="I50" s="278"/>
      <c r="J50" s="278"/>
      <c r="K50" s="291"/>
      <c r="L50" s="13"/>
    </row>
    <row r="51" spans="1:12" s="4" customFormat="1">
      <c r="A51" s="282" t="s">
        <v>335</v>
      </c>
      <c r="B51" s="51"/>
      <c r="C51" s="2"/>
      <c r="D51" s="2"/>
      <c r="E51" s="3"/>
      <c r="F51" s="3"/>
      <c r="G51" s="3"/>
      <c r="H51" s="3"/>
      <c r="I51" s="3"/>
      <c r="J51" s="3"/>
      <c r="K51" s="3"/>
      <c r="L51" s="26"/>
    </row>
    <row r="52" spans="1:12" s="4" customFormat="1">
      <c r="A52" s="282" t="s">
        <v>400</v>
      </c>
      <c r="B52" s="51"/>
      <c r="C52" s="2"/>
      <c r="D52" s="2"/>
      <c r="E52" s="3"/>
      <c r="F52" s="3"/>
      <c r="G52" s="3"/>
      <c r="H52" s="3"/>
      <c r="I52" s="3"/>
      <c r="J52" s="3"/>
      <c r="K52" s="3"/>
      <c r="L52" s="26"/>
    </row>
    <row r="53" spans="1:12" s="4" customFormat="1">
      <c r="A53" s="51"/>
      <c r="B53" s="51"/>
      <c r="C53" s="51"/>
      <c r="D53" s="2"/>
      <c r="E53" s="3"/>
      <c r="F53" s="3"/>
      <c r="G53" s="3"/>
      <c r="H53" s="3"/>
      <c r="I53" s="3"/>
      <c r="J53" s="3"/>
      <c r="K53" s="3"/>
      <c r="L53" s="3"/>
    </row>
    <row r="54" spans="1:12" s="4" customFormat="1" ht="5.25" customHeight="1">
      <c r="A54" s="51"/>
      <c r="B54" s="51"/>
      <c r="C54" s="51"/>
      <c r="D54" s="2"/>
      <c r="E54" s="3"/>
      <c r="F54" s="3"/>
      <c r="G54" s="3"/>
      <c r="H54" s="3"/>
      <c r="I54" s="3"/>
      <c r="J54" s="3"/>
      <c r="K54" s="3"/>
      <c r="L54" s="3"/>
    </row>
    <row r="55" spans="1:12" s="4" customFormat="1">
      <c r="A55" s="66" t="s">
        <v>485</v>
      </c>
      <c r="B55" s="51"/>
      <c r="C55" s="51"/>
      <c r="D55" s="2"/>
      <c r="E55" s="26"/>
      <c r="F55" s="26"/>
      <c r="G55" s="26"/>
      <c r="H55" s="26"/>
      <c r="I55" s="26"/>
      <c r="J55" s="26"/>
      <c r="K55" s="26"/>
      <c r="L55" s="26"/>
    </row>
    <row r="56" spans="1:12" s="29" customFormat="1">
      <c r="A56" s="282" t="s">
        <v>97</v>
      </c>
      <c r="B56" s="27"/>
      <c r="C56" s="27"/>
      <c r="D56" s="27"/>
      <c r="E56" s="290"/>
      <c r="F56" s="290"/>
      <c r="G56" s="290"/>
      <c r="H56" s="290"/>
      <c r="I56" s="290"/>
      <c r="J56" s="290"/>
      <c r="K56" s="290"/>
      <c r="L56" s="290"/>
    </row>
    <row r="57" spans="1:12">
      <c r="E57" s="6"/>
    </row>
    <row r="58" spans="1:12">
      <c r="E58" s="6"/>
    </row>
    <row r="59" spans="1:12">
      <c r="E59" s="6"/>
    </row>
    <row r="60" spans="1:12">
      <c r="E60" s="6"/>
    </row>
    <row r="61" spans="1:12">
      <c r="E61" s="6"/>
    </row>
    <row r="62" spans="1:12">
      <c r="E62" s="6"/>
    </row>
    <row r="63" spans="1:12">
      <c r="E63" s="6"/>
    </row>
    <row r="64" spans="1:12">
      <c r="E64" s="6"/>
    </row>
    <row r="65" spans="5:5">
      <c r="E65" s="6"/>
    </row>
    <row r="66" spans="5:5">
      <c r="E66" s="6"/>
    </row>
    <row r="67" spans="5:5">
      <c r="E67" s="6"/>
    </row>
    <row r="68" spans="5:5">
      <c r="E68" s="6"/>
    </row>
    <row r="69" spans="5:5">
      <c r="E69" s="6"/>
    </row>
    <row r="70" spans="5:5">
      <c r="E70" s="6"/>
    </row>
    <row r="71" spans="5:5">
      <c r="E71" s="6"/>
    </row>
    <row r="72" spans="5:5">
      <c r="E72" s="6"/>
    </row>
    <row r="73" spans="5:5">
      <c r="E73" s="6"/>
    </row>
    <row r="74" spans="5:5">
      <c r="E74" s="6"/>
    </row>
    <row r="75" spans="5:5">
      <c r="E75" s="6"/>
    </row>
    <row r="76" spans="5:5">
      <c r="E76" s="6"/>
    </row>
    <row r="77" spans="5:5">
      <c r="E77" s="6"/>
    </row>
    <row r="78" spans="5:5">
      <c r="E78" s="6"/>
    </row>
    <row r="79" spans="5:5">
      <c r="E79" s="6"/>
    </row>
    <row r="80" spans="5:5">
      <c r="E80" s="6"/>
    </row>
    <row r="81" spans="5:5">
      <c r="E81" s="6"/>
    </row>
    <row r="82" spans="5:5">
      <c r="E82" s="6"/>
    </row>
    <row r="83" spans="5:5">
      <c r="E83" s="6"/>
    </row>
    <row r="84" spans="5:5">
      <c r="E84" s="6"/>
    </row>
    <row r="85" spans="5:5">
      <c r="E85" s="6"/>
    </row>
    <row r="86" spans="5:5">
      <c r="E86" s="6"/>
    </row>
    <row r="87" spans="5:5">
      <c r="E87" s="6"/>
    </row>
    <row r="88" spans="5:5">
      <c r="E88" s="6"/>
    </row>
    <row r="89" spans="5:5">
      <c r="E89" s="6"/>
    </row>
    <row r="90" spans="5:5">
      <c r="E90" s="6"/>
    </row>
    <row r="91" spans="5:5">
      <c r="E91" s="6"/>
    </row>
    <row r="92" spans="5:5">
      <c r="E92" s="6"/>
    </row>
    <row r="93" spans="5:5">
      <c r="E93" s="6"/>
    </row>
    <row r="94" spans="5:5">
      <c r="E94" s="6"/>
    </row>
    <row r="95" spans="5:5">
      <c r="E95" s="6"/>
    </row>
    <row r="96" spans="5:5">
      <c r="E96" s="6"/>
    </row>
    <row r="97" spans="5:5">
      <c r="E97" s="6"/>
    </row>
    <row r="98" spans="5:5">
      <c r="E98" s="6"/>
    </row>
    <row r="99" spans="5:5">
      <c r="E99" s="6"/>
    </row>
    <row r="100" spans="5:5">
      <c r="E100" s="6"/>
    </row>
    <row r="101" spans="5:5">
      <c r="E101" s="6"/>
    </row>
    <row r="102" spans="5:5">
      <c r="E102" s="6"/>
    </row>
    <row r="103" spans="5:5">
      <c r="E103" s="6"/>
    </row>
    <row r="104" spans="5:5">
      <c r="E104" s="6"/>
    </row>
    <row r="105" spans="5:5">
      <c r="E105" s="6"/>
    </row>
    <row r="106" spans="5:5">
      <c r="E106" s="6"/>
    </row>
    <row r="107" spans="5:5">
      <c r="E107" s="6"/>
    </row>
    <row r="108" spans="5:5">
      <c r="E108" s="6"/>
    </row>
    <row r="109" spans="5:5">
      <c r="E109" s="6"/>
    </row>
    <row r="110" spans="5:5">
      <c r="E110" s="6"/>
    </row>
    <row r="111" spans="5:5">
      <c r="E111" s="6"/>
    </row>
    <row r="112" spans="5:5">
      <c r="E112" s="6"/>
    </row>
    <row r="113" spans="5:5">
      <c r="E113" s="6"/>
    </row>
    <row r="114" spans="5:5">
      <c r="E114" s="6"/>
    </row>
    <row r="115" spans="5:5">
      <c r="E115" s="6"/>
    </row>
    <row r="116" spans="5:5">
      <c r="E116" s="6"/>
    </row>
    <row r="117" spans="5:5">
      <c r="E117" s="6"/>
    </row>
    <row r="118" spans="5:5">
      <c r="E118" s="6"/>
    </row>
    <row r="119" spans="5:5">
      <c r="E119" s="6"/>
    </row>
    <row r="120" spans="5:5">
      <c r="E120" s="6"/>
    </row>
    <row r="121" spans="5:5">
      <c r="E121" s="6"/>
    </row>
    <row r="122" spans="5:5">
      <c r="E122" s="6"/>
    </row>
    <row r="123" spans="5:5">
      <c r="E123" s="6"/>
    </row>
    <row r="124" spans="5:5">
      <c r="E124" s="6"/>
    </row>
    <row r="125" spans="5:5">
      <c r="E125" s="6"/>
    </row>
    <row r="126" spans="5:5">
      <c r="E126" s="6"/>
    </row>
    <row r="127" spans="5:5">
      <c r="E127" s="6"/>
    </row>
    <row r="128" spans="5:5">
      <c r="E128" s="6"/>
    </row>
    <row r="129" spans="5:5">
      <c r="E129" s="6"/>
    </row>
    <row r="130" spans="5:5">
      <c r="E130" s="6"/>
    </row>
    <row r="131" spans="5:5">
      <c r="E131" s="6"/>
    </row>
    <row r="132" spans="5:5">
      <c r="E132" s="6"/>
    </row>
    <row r="133" spans="5:5">
      <c r="E133" s="6"/>
    </row>
    <row r="134" spans="5:5">
      <c r="E134" s="6"/>
    </row>
    <row r="135" spans="5:5">
      <c r="E135" s="6"/>
    </row>
    <row r="136" spans="5:5">
      <c r="E136" s="6"/>
    </row>
    <row r="137" spans="5:5">
      <c r="E137" s="6"/>
    </row>
    <row r="138" spans="5:5">
      <c r="E138" s="6"/>
    </row>
    <row r="139" spans="5:5">
      <c r="E139" s="6"/>
    </row>
    <row r="140" spans="5:5">
      <c r="E140" s="6"/>
    </row>
    <row r="141" spans="5:5">
      <c r="E141" s="6"/>
    </row>
    <row r="142" spans="5:5">
      <c r="E142" s="6"/>
    </row>
    <row r="143" spans="5:5">
      <c r="E143" s="6"/>
    </row>
    <row r="144" spans="5:5">
      <c r="E144" s="6"/>
    </row>
    <row r="145" spans="5:5">
      <c r="E145" s="6"/>
    </row>
    <row r="146" spans="5:5">
      <c r="E146" s="6"/>
    </row>
    <row r="147" spans="5:5">
      <c r="E147" s="6"/>
    </row>
    <row r="148" spans="5:5">
      <c r="E148" s="6"/>
    </row>
    <row r="149" spans="5:5">
      <c r="E149" s="6"/>
    </row>
    <row r="150" spans="5:5">
      <c r="E150" s="6"/>
    </row>
    <row r="151" spans="5:5">
      <c r="E151" s="6"/>
    </row>
    <row r="152" spans="5:5">
      <c r="E152" s="6"/>
    </row>
    <row r="153" spans="5:5">
      <c r="E153" s="6"/>
    </row>
    <row r="154" spans="5:5">
      <c r="E154" s="6"/>
    </row>
    <row r="155" spans="5:5">
      <c r="E155" s="6"/>
    </row>
    <row r="156" spans="5:5">
      <c r="E156" s="6"/>
    </row>
    <row r="157" spans="5:5">
      <c r="E157" s="6"/>
    </row>
    <row r="158" spans="5:5">
      <c r="E158" s="6"/>
    </row>
    <row r="159" spans="5:5">
      <c r="E159" s="6"/>
    </row>
    <row r="160" spans="5:5">
      <c r="E160" s="6"/>
    </row>
    <row r="161" spans="5:5">
      <c r="E161" s="6"/>
    </row>
    <row r="162" spans="5:5">
      <c r="E162" s="6"/>
    </row>
    <row r="163" spans="5:5">
      <c r="E163" s="6"/>
    </row>
    <row r="164" spans="5:5">
      <c r="E164" s="6"/>
    </row>
    <row r="165" spans="5:5">
      <c r="E165" s="6"/>
    </row>
    <row r="166" spans="5:5">
      <c r="E166" s="6"/>
    </row>
    <row r="167" spans="5:5">
      <c r="E167" s="6"/>
    </row>
    <row r="168" spans="5:5">
      <c r="E168" s="6"/>
    </row>
    <row r="169" spans="5:5">
      <c r="E169" s="6"/>
    </row>
    <row r="170" spans="5:5">
      <c r="E170" s="6"/>
    </row>
    <row r="171" spans="5:5">
      <c r="E171" s="6"/>
    </row>
    <row r="172" spans="5:5">
      <c r="E172" s="6"/>
    </row>
    <row r="173" spans="5:5">
      <c r="E173" s="6"/>
    </row>
    <row r="174" spans="5:5">
      <c r="E174" s="6"/>
    </row>
    <row r="175" spans="5:5">
      <c r="E175" s="6"/>
    </row>
    <row r="176" spans="5:5">
      <c r="E176" s="6"/>
    </row>
    <row r="177" spans="5:5">
      <c r="E177" s="6"/>
    </row>
    <row r="178" spans="5:5">
      <c r="E178" s="6"/>
    </row>
    <row r="179" spans="5:5">
      <c r="E179" s="6"/>
    </row>
    <row r="180" spans="5:5">
      <c r="E180" s="6"/>
    </row>
    <row r="181" spans="5:5">
      <c r="E181" s="6"/>
    </row>
    <row r="182" spans="5:5">
      <c r="E182" s="6"/>
    </row>
    <row r="183" spans="5:5">
      <c r="E183" s="6"/>
    </row>
    <row r="184" spans="5:5">
      <c r="E184" s="6"/>
    </row>
    <row r="185" spans="5:5">
      <c r="E185" s="6"/>
    </row>
    <row r="186" spans="5:5">
      <c r="E186" s="6"/>
    </row>
    <row r="187" spans="5:5">
      <c r="E187" s="6"/>
    </row>
    <row r="188" spans="5:5">
      <c r="E188" s="6"/>
    </row>
    <row r="189" spans="5:5">
      <c r="E189" s="6"/>
    </row>
    <row r="190" spans="5:5">
      <c r="E190" s="6"/>
    </row>
    <row r="191" spans="5:5">
      <c r="E191" s="6"/>
    </row>
    <row r="192" spans="5:5">
      <c r="E192" s="6"/>
    </row>
    <row r="193" spans="5:5">
      <c r="E193" s="6"/>
    </row>
    <row r="194" spans="5:5">
      <c r="E194" s="6"/>
    </row>
    <row r="195" spans="5:5">
      <c r="E195" s="6"/>
    </row>
    <row r="196" spans="5:5">
      <c r="E196" s="6"/>
    </row>
    <row r="197" spans="5:5">
      <c r="E197" s="6"/>
    </row>
    <row r="198" spans="5:5">
      <c r="E198" s="6"/>
    </row>
    <row r="199" spans="5:5">
      <c r="E199" s="6"/>
    </row>
    <row r="200" spans="5:5">
      <c r="E200" s="6"/>
    </row>
    <row r="201" spans="5:5">
      <c r="E201" s="6"/>
    </row>
    <row r="202" spans="5:5">
      <c r="E202" s="6"/>
    </row>
    <row r="203" spans="5:5">
      <c r="E203" s="6"/>
    </row>
    <row r="204" spans="5:5">
      <c r="E204" s="6"/>
    </row>
    <row r="205" spans="5:5">
      <c r="E205" s="6"/>
    </row>
    <row r="206" spans="5:5">
      <c r="E206" s="6"/>
    </row>
    <row r="207" spans="5:5">
      <c r="E207" s="6"/>
    </row>
    <row r="208" spans="5:5">
      <c r="E208" s="6"/>
    </row>
    <row r="209" spans="5:5">
      <c r="E209" s="6"/>
    </row>
    <row r="210" spans="5:5">
      <c r="E210" s="6"/>
    </row>
    <row r="211" spans="5:5">
      <c r="E211" s="6"/>
    </row>
    <row r="212" spans="5:5">
      <c r="E212" s="6"/>
    </row>
    <row r="213" spans="5:5">
      <c r="E213" s="6"/>
    </row>
    <row r="214" spans="5:5">
      <c r="E214" s="6"/>
    </row>
    <row r="215" spans="5:5">
      <c r="E215" s="6"/>
    </row>
    <row r="216" spans="5:5">
      <c r="E216" s="6"/>
    </row>
    <row r="217" spans="5:5">
      <c r="E217" s="6"/>
    </row>
    <row r="218" spans="5:5">
      <c r="E218" s="6"/>
    </row>
    <row r="219" spans="5:5">
      <c r="E219" s="6"/>
    </row>
    <row r="220" spans="5:5">
      <c r="E220" s="6"/>
    </row>
    <row r="221" spans="5:5">
      <c r="E221" s="6"/>
    </row>
    <row r="222" spans="5:5">
      <c r="E222" s="6"/>
    </row>
    <row r="223" spans="5:5">
      <c r="E223" s="6"/>
    </row>
    <row r="224" spans="5:5">
      <c r="E224" s="6"/>
    </row>
    <row r="225" spans="5:5">
      <c r="E225" s="6"/>
    </row>
    <row r="226" spans="5:5">
      <c r="E226" s="6"/>
    </row>
    <row r="227" spans="5:5">
      <c r="E227" s="6"/>
    </row>
    <row r="228" spans="5:5">
      <c r="E228" s="6"/>
    </row>
    <row r="229" spans="5:5">
      <c r="E229" s="6"/>
    </row>
    <row r="230" spans="5:5">
      <c r="E230" s="6"/>
    </row>
    <row r="231" spans="5:5">
      <c r="E231" s="6"/>
    </row>
    <row r="232" spans="5:5">
      <c r="E232" s="6"/>
    </row>
    <row r="233" spans="5:5">
      <c r="E233" s="6"/>
    </row>
    <row r="234" spans="5:5">
      <c r="E234" s="6"/>
    </row>
    <row r="235" spans="5:5">
      <c r="E235" s="6"/>
    </row>
    <row r="236" spans="5:5">
      <c r="E236" s="6"/>
    </row>
    <row r="237" spans="5:5">
      <c r="E237" s="6"/>
    </row>
    <row r="238" spans="5:5">
      <c r="E238" s="6"/>
    </row>
    <row r="239" spans="5:5">
      <c r="E239" s="6"/>
    </row>
    <row r="240" spans="5:5">
      <c r="E240" s="6"/>
    </row>
    <row r="241" spans="5:5">
      <c r="E241" s="6"/>
    </row>
    <row r="242" spans="5:5">
      <c r="E242" s="6"/>
    </row>
    <row r="243" spans="5:5">
      <c r="E243" s="6"/>
    </row>
    <row r="244" spans="5:5">
      <c r="E244" s="6"/>
    </row>
    <row r="245" spans="5:5">
      <c r="E245" s="6"/>
    </row>
    <row r="246" spans="5:5">
      <c r="E246" s="6"/>
    </row>
    <row r="247" spans="5:5">
      <c r="E247" s="6"/>
    </row>
    <row r="248" spans="5:5">
      <c r="E248" s="6"/>
    </row>
    <row r="249" spans="5:5">
      <c r="E249" s="6"/>
    </row>
    <row r="250" spans="5:5">
      <c r="E250" s="6"/>
    </row>
    <row r="251" spans="5:5">
      <c r="E251" s="6"/>
    </row>
    <row r="252" spans="5:5">
      <c r="E252" s="6"/>
    </row>
    <row r="253" spans="5:5">
      <c r="E253" s="6"/>
    </row>
    <row r="254" spans="5:5">
      <c r="E254" s="6"/>
    </row>
    <row r="255" spans="5:5">
      <c r="E255" s="6"/>
    </row>
    <row r="256" spans="5:5">
      <c r="E256" s="6"/>
    </row>
    <row r="257" spans="5:5">
      <c r="E257" s="6"/>
    </row>
    <row r="258" spans="5:5">
      <c r="E258" s="6"/>
    </row>
    <row r="259" spans="5:5">
      <c r="E259" s="6"/>
    </row>
    <row r="260" spans="5:5">
      <c r="E260" s="6"/>
    </row>
    <row r="261" spans="5:5">
      <c r="E261" s="6"/>
    </row>
    <row r="262" spans="5:5">
      <c r="E262" s="6"/>
    </row>
    <row r="263" spans="5:5">
      <c r="E263" s="6"/>
    </row>
    <row r="264" spans="5:5">
      <c r="E264" s="6"/>
    </row>
    <row r="265" spans="5:5">
      <c r="E265" s="6"/>
    </row>
    <row r="266" spans="5:5">
      <c r="E266" s="6"/>
    </row>
    <row r="267" spans="5:5">
      <c r="E267" s="6"/>
    </row>
    <row r="268" spans="5:5">
      <c r="E268" s="6"/>
    </row>
    <row r="269" spans="5:5">
      <c r="E269" s="6"/>
    </row>
    <row r="270" spans="5:5">
      <c r="E270" s="6"/>
    </row>
    <row r="271" spans="5:5">
      <c r="E271" s="6"/>
    </row>
    <row r="272" spans="5:5">
      <c r="E272" s="6"/>
    </row>
    <row r="273" spans="5:5">
      <c r="E273" s="6"/>
    </row>
    <row r="274" spans="5:5">
      <c r="E274" s="6"/>
    </row>
    <row r="275" spans="5:5">
      <c r="E275" s="6"/>
    </row>
    <row r="276" spans="5:5">
      <c r="E276" s="6"/>
    </row>
    <row r="277" spans="5:5">
      <c r="E277" s="6"/>
    </row>
    <row r="278" spans="5:5">
      <c r="E278" s="6"/>
    </row>
    <row r="279" spans="5:5">
      <c r="E279" s="6"/>
    </row>
    <row r="280" spans="5:5">
      <c r="E280" s="6"/>
    </row>
    <row r="281" spans="5:5">
      <c r="E281" s="6"/>
    </row>
    <row r="282" spans="5:5">
      <c r="E282" s="6"/>
    </row>
    <row r="283" spans="5:5">
      <c r="E283" s="6"/>
    </row>
    <row r="284" spans="5:5">
      <c r="E284" s="6"/>
    </row>
    <row r="285" spans="5:5">
      <c r="E285" s="6"/>
    </row>
    <row r="286" spans="5:5">
      <c r="E286" s="6"/>
    </row>
    <row r="287" spans="5:5">
      <c r="E287" s="6"/>
    </row>
    <row r="288" spans="5:5">
      <c r="E288" s="6"/>
    </row>
    <row r="289" spans="5:5">
      <c r="E289" s="6"/>
    </row>
    <row r="290" spans="5:5">
      <c r="E290" s="6"/>
    </row>
    <row r="291" spans="5:5">
      <c r="E291" s="6"/>
    </row>
    <row r="292" spans="5:5">
      <c r="E292" s="6"/>
    </row>
    <row r="293" spans="5:5">
      <c r="E293" s="6"/>
    </row>
    <row r="294" spans="5:5">
      <c r="E294" s="6"/>
    </row>
    <row r="295" spans="5:5">
      <c r="E295" s="6"/>
    </row>
    <row r="296" spans="5:5">
      <c r="E296" s="6"/>
    </row>
    <row r="297" spans="5:5">
      <c r="E297" s="6"/>
    </row>
    <row r="298" spans="5:5">
      <c r="E298" s="6"/>
    </row>
    <row r="299" spans="5:5">
      <c r="E299" s="6"/>
    </row>
    <row r="300" spans="5:5">
      <c r="E300" s="6"/>
    </row>
    <row r="301" spans="5:5">
      <c r="E301" s="6"/>
    </row>
    <row r="302" spans="5:5">
      <c r="E302" s="6"/>
    </row>
    <row r="303" spans="5:5">
      <c r="E303" s="6"/>
    </row>
    <row r="304" spans="5:5">
      <c r="E304" s="6"/>
    </row>
    <row r="305" spans="5:5">
      <c r="E305" s="6"/>
    </row>
    <row r="306" spans="5:5">
      <c r="E306" s="6"/>
    </row>
    <row r="307" spans="5:5">
      <c r="E307" s="6"/>
    </row>
    <row r="308" spans="5:5">
      <c r="E308" s="6"/>
    </row>
    <row r="309" spans="5:5">
      <c r="E309" s="6"/>
    </row>
    <row r="310" spans="5:5">
      <c r="E310" s="6"/>
    </row>
    <row r="311" spans="5:5">
      <c r="E311" s="6"/>
    </row>
    <row r="312" spans="5:5">
      <c r="E312" s="6"/>
    </row>
    <row r="313" spans="5:5">
      <c r="E313" s="6"/>
    </row>
    <row r="314" spans="5:5">
      <c r="E314" s="6"/>
    </row>
    <row r="315" spans="5:5">
      <c r="E315" s="6"/>
    </row>
    <row r="316" spans="5:5">
      <c r="E316" s="6"/>
    </row>
    <row r="317" spans="5:5">
      <c r="E317" s="6"/>
    </row>
    <row r="318" spans="5:5">
      <c r="E318" s="6"/>
    </row>
    <row r="319" spans="5:5">
      <c r="E319" s="6"/>
    </row>
    <row r="320" spans="5:5">
      <c r="E320" s="6"/>
    </row>
    <row r="321" spans="5:5">
      <c r="E321" s="6"/>
    </row>
    <row r="322" spans="5:5">
      <c r="E322" s="6"/>
    </row>
    <row r="323" spans="5:5">
      <c r="E323" s="6"/>
    </row>
  </sheetData>
  <customSheetViews>
    <customSheetView guid="{84FBBE83-FF6F-4C76-A58E-D04643F715A5}" showPageBreaks="1" fitToPage="1" printArea="1" hiddenRows="1" view="pageBreakPreview" topLeftCell="A40">
      <selection activeCell="K26" sqref="K26"/>
      <colBreaks count="1" manualBreakCount="1">
        <brk id="11" max="63" man="1"/>
      </colBreaks>
      <pageMargins left="0.75" right="0.5" top="0.5" bottom="0.25" header="0.5" footer="0.5"/>
      <printOptions horizontalCentered="1"/>
      <pageSetup paperSize="9" fitToWidth="12" fitToHeight="12" orientation="portrait" r:id="rId1"/>
      <headerFooter alignWithMargins="0">
        <oddFooter>&amp;C6 of 11</oddFooter>
      </headerFooter>
    </customSheetView>
  </customSheetViews>
  <mergeCells count="3">
    <mergeCell ref="E7:K7"/>
    <mergeCell ref="E4:K4"/>
    <mergeCell ref="E6:K6"/>
  </mergeCells>
  <phoneticPr fontId="7" type="noConversion"/>
  <printOptions horizontalCentered="1"/>
  <pageMargins left="0.75" right="0.5" top="0.5" bottom="0.25" header="0.5" footer="0.5"/>
  <pageSetup paperSize="9" scale="91" fitToWidth="12" fitToHeight="12" orientation="portrait" r:id="rId2"/>
  <headerFooter alignWithMargins="0">
    <oddFooter>&amp;C5 of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79"/>
  <sheetViews>
    <sheetView view="pageBreakPreview" topLeftCell="A37" zoomScaleNormal="90" zoomScaleSheetLayoutView="100" workbookViewId="0">
      <selection activeCell="C16" sqref="C16"/>
    </sheetView>
  </sheetViews>
  <sheetFormatPr defaultRowHeight="12"/>
  <cols>
    <col min="1" max="1" width="4.5" style="181" customWidth="1"/>
    <col min="2" max="2" width="55.625" style="181" bestFit="1" customWidth="1"/>
    <col min="3" max="3" width="14.75" style="181" bestFit="1" customWidth="1"/>
    <col min="4" max="4" width="15.125" style="181" bestFit="1" customWidth="1"/>
    <col min="5" max="5" width="15" style="181" bestFit="1" customWidth="1"/>
    <col min="6" max="6" width="9" style="181"/>
    <col min="7" max="7" width="10.875" style="181" bestFit="1" customWidth="1"/>
    <col min="8" max="16384" width="9" style="181"/>
  </cols>
  <sheetData>
    <row r="1" spans="1:6">
      <c r="A1" s="2" t="str">
        <f>[46]BS!$A$1</f>
        <v>NATIONAL INVESTMENT (UNIT) TRUST</v>
      </c>
      <c r="E1" s="359" t="s">
        <v>207</v>
      </c>
    </row>
    <row r="2" spans="1:6">
      <c r="A2" s="89" t="s">
        <v>133</v>
      </c>
    </row>
    <row r="3" spans="1:6">
      <c r="A3" s="89" t="s">
        <v>165</v>
      </c>
    </row>
    <row r="4" spans="1:6">
      <c r="A4" s="89" t="s">
        <v>195</v>
      </c>
      <c r="B4" s="26"/>
      <c r="C4" s="26"/>
      <c r="D4" s="26"/>
    </row>
    <row r="5" spans="1:6">
      <c r="B5" s="25"/>
      <c r="C5" s="25"/>
      <c r="D5" s="25"/>
    </row>
    <row r="6" spans="1:6" ht="24">
      <c r="B6" s="25"/>
      <c r="C6" s="243" t="s">
        <v>206</v>
      </c>
      <c r="D6" s="243" t="s">
        <v>208</v>
      </c>
      <c r="E6" s="343" t="s">
        <v>36</v>
      </c>
    </row>
    <row r="7" spans="1:6">
      <c r="C7" s="721" t="s">
        <v>34</v>
      </c>
      <c r="D7" s="722" t="s">
        <v>54</v>
      </c>
      <c r="E7" s="723"/>
    </row>
    <row r="8" spans="1:6">
      <c r="B8" s="20" t="s">
        <v>96</v>
      </c>
      <c r="C8" s="4"/>
      <c r="D8" s="4"/>
      <c r="E8" s="226"/>
      <c r="F8" s="226"/>
    </row>
    <row r="9" spans="1:6">
      <c r="B9" s="227" t="s">
        <v>29</v>
      </c>
      <c r="C9" s="6">
        <f>'cash flow'!E9</f>
        <v>760.02700000000004</v>
      </c>
      <c r="D9" s="6">
        <v>-964290</v>
      </c>
      <c r="E9" s="6">
        <f>C9-D9</f>
        <v>965050.027</v>
      </c>
      <c r="F9" s="226"/>
    </row>
    <row r="10" spans="1:6">
      <c r="B10" s="23"/>
      <c r="C10" s="6"/>
      <c r="D10" s="6"/>
      <c r="E10" s="6"/>
      <c r="F10" s="226"/>
    </row>
    <row r="11" spans="1:6">
      <c r="B11" s="228" t="s">
        <v>98</v>
      </c>
      <c r="C11" s="6"/>
      <c r="D11" s="6"/>
      <c r="E11" s="6"/>
      <c r="F11" s="226"/>
    </row>
    <row r="12" spans="1:6">
      <c r="B12" s="229" t="s">
        <v>193</v>
      </c>
      <c r="C12" s="6"/>
      <c r="D12" s="6"/>
      <c r="E12" s="6"/>
      <c r="F12" s="226"/>
    </row>
    <row r="13" spans="1:6">
      <c r="B13" s="230" t="s">
        <v>3</v>
      </c>
      <c r="C13" s="6"/>
      <c r="D13" s="6"/>
      <c r="E13" s="6"/>
      <c r="F13" s="226"/>
    </row>
    <row r="14" spans="1:6">
      <c r="B14" s="231" t="s">
        <v>2</v>
      </c>
      <c r="C14" s="6" t="e">
        <f>'cash flow'!#REF!</f>
        <v>#REF!</v>
      </c>
      <c r="D14" s="6">
        <v>-257237</v>
      </c>
      <c r="E14" s="6" t="e">
        <f>C14-D14</f>
        <v>#REF!</v>
      </c>
      <c r="F14" s="226"/>
    </row>
    <row r="15" spans="1:6">
      <c r="B15" s="207" t="s">
        <v>32</v>
      </c>
      <c r="C15" s="6">
        <v>0</v>
      </c>
      <c r="D15" s="6">
        <v>0</v>
      </c>
      <c r="E15" s="6">
        <f>C15-D15</f>
        <v>0</v>
      </c>
      <c r="F15" s="226"/>
    </row>
    <row r="16" spans="1:6">
      <c r="B16" s="207" t="s">
        <v>159</v>
      </c>
      <c r="C16" s="6"/>
      <c r="D16" s="6"/>
      <c r="E16" s="6"/>
      <c r="F16" s="226"/>
    </row>
    <row r="17" spans="2:6">
      <c r="B17" s="232" t="s">
        <v>5</v>
      </c>
      <c r="C17" s="6" t="e">
        <f>'cash flow'!#REF!</f>
        <v>#REF!</v>
      </c>
      <c r="D17" s="6">
        <v>3076302</v>
      </c>
      <c r="E17" s="6" t="e">
        <f>C17-D17</f>
        <v>#REF!</v>
      </c>
      <c r="F17" s="226"/>
    </row>
    <row r="18" spans="2:6">
      <c r="B18" s="232"/>
      <c r="C18" s="6"/>
      <c r="D18" s="6"/>
      <c r="E18" s="6"/>
      <c r="F18" s="226"/>
    </row>
    <row r="19" spans="2:6">
      <c r="B19" s="233" t="s">
        <v>33</v>
      </c>
      <c r="C19" s="6" t="e">
        <f>'cash flow'!#REF!</f>
        <v>#REF!</v>
      </c>
      <c r="D19" s="6">
        <v>0</v>
      </c>
      <c r="E19" s="6" t="e">
        <f>C19-D19</f>
        <v>#REF!</v>
      </c>
      <c r="F19" s="226"/>
    </row>
    <row r="20" spans="2:6" hidden="1">
      <c r="B20" s="233" t="s">
        <v>107</v>
      </c>
      <c r="C20" s="6">
        <v>0</v>
      </c>
      <c r="D20" s="6">
        <v>0</v>
      </c>
      <c r="E20" s="6">
        <f>C20-D20</f>
        <v>0</v>
      </c>
      <c r="F20" s="226"/>
    </row>
    <row r="21" spans="2:6">
      <c r="B21" s="185" t="s">
        <v>80</v>
      </c>
      <c r="C21" s="6" t="e">
        <f>'cash flow'!#REF!</f>
        <v>#REF!</v>
      </c>
      <c r="D21" s="6">
        <v>202091</v>
      </c>
      <c r="E21" s="6" t="e">
        <f>C21-D21</f>
        <v>#REF!</v>
      </c>
      <c r="F21" s="226"/>
    </row>
    <row r="22" spans="2:6">
      <c r="B22" s="185" t="s">
        <v>199</v>
      </c>
      <c r="C22" s="6" t="e">
        <f>'cash flow'!#REF!</f>
        <v>#REF!</v>
      </c>
      <c r="D22" s="6">
        <v>32335</v>
      </c>
      <c r="E22" s="6" t="e">
        <f>C22-D22</f>
        <v>#REF!</v>
      </c>
      <c r="F22" s="226"/>
    </row>
    <row r="23" spans="2:6">
      <c r="B23" s="20"/>
      <c r="C23" s="97" t="e">
        <f>SUM(C9:C22)</f>
        <v>#REF!</v>
      </c>
      <c r="D23" s="97">
        <f>SUM(D9:D22)</f>
        <v>2089201</v>
      </c>
      <c r="E23" s="97" t="e">
        <f>SUM(E9:E22)</f>
        <v>#REF!</v>
      </c>
      <c r="F23" s="297" t="e">
        <f>C23-D23</f>
        <v>#REF!</v>
      </c>
    </row>
    <row r="24" spans="2:6">
      <c r="B24" s="234" t="s">
        <v>15</v>
      </c>
      <c r="C24" s="6"/>
      <c r="D24" s="6"/>
      <c r="E24" s="6"/>
      <c r="F24" s="226"/>
    </row>
    <row r="25" spans="2:6">
      <c r="B25" s="235" t="s">
        <v>160</v>
      </c>
      <c r="C25" s="6"/>
      <c r="D25" s="6"/>
      <c r="E25" s="6"/>
      <c r="F25" s="226"/>
    </row>
    <row r="26" spans="2:6">
      <c r="B26" s="230" t="s">
        <v>6</v>
      </c>
      <c r="C26" s="12">
        <f>'cash flow'!E11</f>
        <v>0</v>
      </c>
      <c r="D26" s="12">
        <v>0</v>
      </c>
      <c r="E26" s="12">
        <f>C26-D26</f>
        <v>0</v>
      </c>
      <c r="F26" s="226"/>
    </row>
    <row r="27" spans="2:6">
      <c r="B27" s="235" t="s">
        <v>64</v>
      </c>
      <c r="C27" s="15">
        <f>'cash flow'!E12</f>
        <v>-66930.332999999999</v>
      </c>
      <c r="D27" s="15">
        <v>3407371</v>
      </c>
      <c r="E27" s="15">
        <f>C27-D27</f>
        <v>-3474301.3330000001</v>
      </c>
      <c r="F27" s="226"/>
    </row>
    <row r="28" spans="2:6">
      <c r="B28" s="235" t="s">
        <v>122</v>
      </c>
      <c r="C28" s="15">
        <f>'cash flow'!E15</f>
        <v>10000</v>
      </c>
      <c r="D28" s="15">
        <v>35266</v>
      </c>
      <c r="E28" s="15">
        <f>C28-D28</f>
        <v>-25266</v>
      </c>
      <c r="F28" s="226"/>
    </row>
    <row r="29" spans="2:6">
      <c r="B29" s="236" t="s">
        <v>170</v>
      </c>
      <c r="C29" s="17">
        <f>BS!H15-BS!F15</f>
        <v>0</v>
      </c>
      <c r="D29" s="17">
        <v>-98269</v>
      </c>
      <c r="E29" s="15">
        <f>C29-D29</f>
        <v>98269</v>
      </c>
      <c r="F29" s="226"/>
    </row>
    <row r="30" spans="2:6">
      <c r="B30" s="25"/>
      <c r="C30" s="97">
        <f>SUM(C26:C29)</f>
        <v>-56930.332999999999</v>
      </c>
      <c r="D30" s="97">
        <f>SUM(D26:D29)</f>
        <v>3344368</v>
      </c>
      <c r="E30" s="97">
        <f>SUM(E26:E29)</f>
        <v>-3401298.3330000001</v>
      </c>
      <c r="F30" s="297">
        <f>C30-D30</f>
        <v>-3401298.3330000001</v>
      </c>
    </row>
    <row r="31" spans="2:6">
      <c r="B31" s="234" t="s">
        <v>84</v>
      </c>
      <c r="C31" s="13"/>
      <c r="D31" s="13"/>
      <c r="E31" s="13"/>
      <c r="F31" s="226"/>
    </row>
    <row r="32" spans="2:6">
      <c r="B32" s="235" t="s">
        <v>161</v>
      </c>
      <c r="C32" s="13"/>
      <c r="D32" s="13"/>
      <c r="E32" s="13"/>
      <c r="F32" s="226"/>
    </row>
    <row r="33" spans="2:7">
      <c r="B33" s="230" t="s">
        <v>12</v>
      </c>
      <c r="C33" s="12">
        <f>'cash flow'!E19</f>
        <v>86.862999999999829</v>
      </c>
      <c r="D33" s="12">
        <v>15010</v>
      </c>
      <c r="E33" s="12">
        <f>C33-D33</f>
        <v>-14923.137000000001</v>
      </c>
      <c r="F33" s="226"/>
    </row>
    <row r="34" spans="2:7">
      <c r="B34" s="235" t="s">
        <v>162</v>
      </c>
      <c r="C34" s="15"/>
      <c r="D34" s="15"/>
      <c r="E34" s="15"/>
      <c r="F34" s="226"/>
    </row>
    <row r="35" spans="2:7">
      <c r="B35" s="230" t="s">
        <v>163</v>
      </c>
      <c r="C35" s="15">
        <f>'cash flow'!E22</f>
        <v>7.4480000000000004</v>
      </c>
      <c r="D35" s="15">
        <v>-15993</v>
      </c>
      <c r="E35" s="15">
        <f>C35-D35</f>
        <v>16000.448</v>
      </c>
      <c r="F35" s="226"/>
    </row>
    <row r="36" spans="2:7">
      <c r="B36" s="235" t="s">
        <v>91</v>
      </c>
      <c r="C36" s="17">
        <f>'cash flow'!E24</f>
        <v>317.23700000000002</v>
      </c>
      <c r="D36" s="17">
        <v>20451</v>
      </c>
      <c r="E36" s="17">
        <f>C36-D36</f>
        <v>-20133.762999999999</v>
      </c>
      <c r="F36" s="226"/>
    </row>
    <row r="37" spans="2:7">
      <c r="B37" s="234"/>
      <c r="C37" s="13">
        <f>SUM(C33:C36)</f>
        <v>411.54799999999989</v>
      </c>
      <c r="D37" s="13">
        <f>SUM(D33:D36)</f>
        <v>19468</v>
      </c>
      <c r="E37" s="13">
        <f>SUM(E33:E36)</f>
        <v>-19056.451999999997</v>
      </c>
      <c r="F37" s="226"/>
    </row>
    <row r="38" spans="2:7">
      <c r="B38" s="185" t="s">
        <v>99</v>
      </c>
      <c r="C38" s="13" t="e">
        <f>'cash flow'!#REF!</f>
        <v>#REF!</v>
      </c>
      <c r="D38" s="13">
        <v>-236683</v>
      </c>
      <c r="E38" s="13" t="e">
        <f>C38-D38</f>
        <v>#REF!</v>
      </c>
      <c r="F38" s="226"/>
    </row>
    <row r="39" spans="2:7">
      <c r="B39" s="237" t="s">
        <v>100</v>
      </c>
      <c r="C39" s="97" t="e">
        <f>C23+C30+C37+C38</f>
        <v>#REF!</v>
      </c>
      <c r="D39" s="97">
        <f>D23+D30+D37+D38</f>
        <v>5216354</v>
      </c>
      <c r="E39" s="97" t="e">
        <f>E23+E30+E37+E38</f>
        <v>#REF!</v>
      </c>
      <c r="F39" s="297" t="e">
        <f>C39-D39</f>
        <v>#REF!</v>
      </c>
      <c r="G39" s="295">
        <v>3900410</v>
      </c>
    </row>
    <row r="40" spans="2:7">
      <c r="B40" s="237"/>
      <c r="C40" s="13"/>
      <c r="D40" s="13"/>
      <c r="E40" s="13"/>
      <c r="F40" s="226"/>
    </row>
    <row r="41" spans="2:7">
      <c r="B41" s="237" t="s">
        <v>85</v>
      </c>
      <c r="C41" s="13"/>
      <c r="D41" s="13"/>
      <c r="E41" s="13"/>
      <c r="F41" s="226"/>
    </row>
    <row r="42" spans="2:7">
      <c r="B42" s="237"/>
      <c r="C42" s="13"/>
      <c r="D42" s="13"/>
      <c r="E42" s="13"/>
      <c r="F42" s="226"/>
    </row>
    <row r="43" spans="2:7">
      <c r="B43" s="80" t="s">
        <v>213</v>
      </c>
      <c r="C43" s="12">
        <f>'cash flow'!E30</f>
        <v>3936.9690000000001</v>
      </c>
      <c r="D43" s="12">
        <v>-5855964</v>
      </c>
      <c r="E43" s="12">
        <f>C43-D43</f>
        <v>5859900.9689999996</v>
      </c>
      <c r="F43" s="226"/>
    </row>
    <row r="44" spans="2:7">
      <c r="B44" s="80" t="s">
        <v>62</v>
      </c>
      <c r="C44" s="17" t="e">
        <f>'cash flow'!#REF!</f>
        <v>#REF!</v>
      </c>
      <c r="D44" s="17">
        <v>-3334611</v>
      </c>
      <c r="E44" s="17" t="e">
        <f>C44-D44</f>
        <v>#REF!</v>
      </c>
      <c r="F44" s="226"/>
    </row>
    <row r="45" spans="2:7">
      <c r="B45" s="238" t="s">
        <v>27</v>
      </c>
      <c r="C45" s="13" t="e">
        <f>SUM(C43:C44)</f>
        <v>#REF!</v>
      </c>
      <c r="D45" s="13">
        <f>SUM(D43:D44)</f>
        <v>-9190575</v>
      </c>
      <c r="E45" s="13" t="e">
        <f>SUM(E43:E44)</f>
        <v>#REF!</v>
      </c>
      <c r="F45" s="297" t="e">
        <f>C45-D45</f>
        <v>#REF!</v>
      </c>
    </row>
    <row r="46" spans="2:7">
      <c r="B46" s="201"/>
      <c r="C46" s="13"/>
      <c r="D46" s="13"/>
      <c r="E46" s="13"/>
      <c r="F46" s="226"/>
    </row>
    <row r="47" spans="2:7">
      <c r="B47" s="237" t="s">
        <v>28</v>
      </c>
      <c r="C47" s="13"/>
      <c r="D47" s="13"/>
      <c r="E47" s="13"/>
      <c r="F47" s="226"/>
    </row>
    <row r="48" spans="2:7">
      <c r="B48" s="239" t="s">
        <v>164</v>
      </c>
      <c r="C48" s="97" t="e">
        <f>C39+C45</f>
        <v>#REF!</v>
      </c>
      <c r="D48" s="97">
        <f>D39+D45</f>
        <v>-3974221</v>
      </c>
      <c r="E48" s="97" t="e">
        <f>E39+E45</f>
        <v>#REF!</v>
      </c>
      <c r="F48" s="297" t="e">
        <f>C48-D48</f>
        <v>#REF!</v>
      </c>
    </row>
    <row r="49" spans="2:6">
      <c r="B49" s="233"/>
      <c r="C49" s="13"/>
      <c r="D49" s="13"/>
      <c r="E49" s="13"/>
      <c r="F49" s="226"/>
    </row>
    <row r="50" spans="2:6">
      <c r="B50" s="80" t="s">
        <v>144</v>
      </c>
      <c r="C50" s="6">
        <f>'cash flow'!E36</f>
        <v>74247</v>
      </c>
      <c r="D50" s="6">
        <v>3400060</v>
      </c>
      <c r="E50" s="6">
        <f>D52</f>
        <v>-574161</v>
      </c>
      <c r="F50" s="226"/>
    </row>
    <row r="51" spans="2:6">
      <c r="B51" s="80"/>
      <c r="C51" s="6"/>
      <c r="D51" s="6"/>
      <c r="E51" s="6"/>
      <c r="F51" s="226"/>
    </row>
    <row r="52" spans="2:6" ht="12.75" thickBot="1">
      <c r="B52" s="237" t="s">
        <v>145</v>
      </c>
      <c r="C52" s="174" t="e">
        <f>C48+C50</f>
        <v>#REF!</v>
      </c>
      <c r="D52" s="174">
        <f>D48+D50</f>
        <v>-574161</v>
      </c>
      <c r="E52" s="174" t="e">
        <f>E48+E50</f>
        <v>#REF!</v>
      </c>
      <c r="F52" s="226"/>
    </row>
    <row r="53" spans="2:6" ht="12.75" thickTop="1">
      <c r="B53" s="80"/>
      <c r="C53" s="6"/>
      <c r="D53" s="6"/>
      <c r="E53" s="240"/>
      <c r="F53" s="226"/>
    </row>
    <row r="54" spans="2:6" hidden="1">
      <c r="B54" s="237" t="s">
        <v>145</v>
      </c>
      <c r="C54" s="6"/>
      <c r="D54" s="6"/>
      <c r="E54" s="240"/>
      <c r="F54" s="226"/>
    </row>
    <row r="55" spans="2:6" hidden="1">
      <c r="B55" s="4" t="s">
        <v>134</v>
      </c>
      <c r="C55" s="6">
        <f>'cash flow'!E41</f>
        <v>11773.681</v>
      </c>
      <c r="D55" s="13"/>
      <c r="E55" s="240"/>
      <c r="F55" s="226"/>
    </row>
    <row r="56" spans="2:6" hidden="1">
      <c r="B56" s="4" t="s">
        <v>138</v>
      </c>
      <c r="C56" s="6">
        <f>'cash flow'!E42</f>
        <v>0</v>
      </c>
      <c r="D56" s="13"/>
      <c r="E56" s="240"/>
      <c r="F56" s="226"/>
    </row>
    <row r="57" spans="2:6" ht="12.75" hidden="1" thickBot="1">
      <c r="B57" s="25"/>
      <c r="C57" s="21">
        <f>C55+C56</f>
        <v>11773.681</v>
      </c>
      <c r="D57" s="13"/>
      <c r="E57" s="240"/>
      <c r="F57" s="226"/>
    </row>
    <row r="58" spans="2:6">
      <c r="C58" s="226"/>
      <c r="D58" s="241"/>
      <c r="E58" s="226"/>
      <c r="F58" s="226"/>
    </row>
    <row r="59" spans="2:6">
      <c r="C59" s="297" t="e">
        <f>C52-BS!F11</f>
        <v>#REF!</v>
      </c>
      <c r="D59" s="242"/>
      <c r="E59" s="226"/>
      <c r="F59" s="226"/>
    </row>
    <row r="60" spans="2:6">
      <c r="C60" s="226"/>
      <c r="D60" s="242"/>
      <c r="E60" s="226"/>
      <c r="F60" s="226"/>
    </row>
    <row r="61" spans="2:6">
      <c r="C61" s="226"/>
      <c r="D61" s="242"/>
      <c r="E61" s="226"/>
      <c r="F61" s="226"/>
    </row>
    <row r="62" spans="2:6">
      <c r="C62" s="226"/>
      <c r="D62" s="242"/>
      <c r="E62" s="226"/>
      <c r="F62" s="226"/>
    </row>
    <row r="63" spans="2:6">
      <c r="C63" s="226"/>
      <c r="D63" s="242"/>
      <c r="E63" s="226"/>
      <c r="F63" s="226"/>
    </row>
    <row r="64" spans="2:6">
      <c r="C64" s="226"/>
      <c r="D64" s="242"/>
      <c r="E64" s="226"/>
      <c r="F64" s="226"/>
    </row>
    <row r="65" spans="3:6">
      <c r="C65" s="226"/>
      <c r="D65" s="226"/>
      <c r="E65" s="226"/>
      <c r="F65" s="226"/>
    </row>
    <row r="66" spans="3:6">
      <c r="C66" s="226"/>
      <c r="D66" s="226"/>
      <c r="E66" s="226"/>
      <c r="F66" s="226"/>
    </row>
    <row r="67" spans="3:6">
      <c r="C67" s="226"/>
      <c r="D67" s="226"/>
      <c r="E67" s="226"/>
      <c r="F67" s="226"/>
    </row>
    <row r="68" spans="3:6">
      <c r="C68" s="226"/>
      <c r="D68" s="226"/>
      <c r="E68" s="226"/>
      <c r="F68" s="226"/>
    </row>
    <row r="69" spans="3:6">
      <c r="C69" s="226"/>
      <c r="D69" s="226"/>
      <c r="E69" s="226"/>
      <c r="F69" s="226"/>
    </row>
    <row r="70" spans="3:6">
      <c r="C70" s="226"/>
      <c r="D70" s="226"/>
      <c r="E70" s="226"/>
      <c r="F70" s="226"/>
    </row>
    <row r="71" spans="3:6">
      <c r="C71" s="226"/>
      <c r="D71" s="226"/>
      <c r="E71" s="226"/>
      <c r="F71" s="226"/>
    </row>
    <row r="72" spans="3:6">
      <c r="C72" s="226"/>
      <c r="D72" s="226"/>
      <c r="E72" s="226"/>
      <c r="F72" s="226"/>
    </row>
    <row r="73" spans="3:6">
      <c r="C73" s="226"/>
      <c r="D73" s="226"/>
      <c r="E73" s="226"/>
      <c r="F73" s="226"/>
    </row>
    <row r="74" spans="3:6">
      <c r="C74" s="226"/>
      <c r="D74" s="226"/>
      <c r="E74" s="226"/>
      <c r="F74" s="226"/>
    </row>
    <row r="75" spans="3:6">
      <c r="C75" s="226"/>
      <c r="D75" s="226"/>
      <c r="E75" s="226"/>
      <c r="F75" s="226"/>
    </row>
    <row r="76" spans="3:6">
      <c r="C76" s="226"/>
      <c r="D76" s="226"/>
      <c r="E76" s="226"/>
      <c r="F76" s="226"/>
    </row>
    <row r="77" spans="3:6">
      <c r="C77" s="226"/>
      <c r="D77" s="226"/>
      <c r="E77" s="226"/>
      <c r="F77" s="226"/>
    </row>
    <row r="78" spans="3:6">
      <c r="C78" s="226"/>
      <c r="D78" s="226"/>
      <c r="E78" s="226"/>
      <c r="F78" s="226"/>
    </row>
    <row r="79" spans="3:6">
      <c r="C79" s="226"/>
      <c r="D79" s="226"/>
      <c r="E79" s="226"/>
      <c r="F79" s="226"/>
    </row>
  </sheetData>
  <customSheetViews>
    <customSheetView guid="{84FBBE83-FF6F-4C76-A58E-D04643F715A5}" showPageBreaks="1" printArea="1" hiddenRows="1" view="pageBreakPreview" topLeftCell="A37">
      <selection activeCell="C16" sqref="C16"/>
      <colBreaks count="1" manualBreakCount="1">
        <brk id="5" max="1048575" man="1"/>
      </colBreaks>
      <pageMargins left="0.38" right="0.37" top="0.65" bottom="1" header="0.5" footer="0.5"/>
      <pageSetup paperSize="9" scale="80" orientation="portrait" r:id="rId1"/>
      <headerFooter alignWithMargins="0"/>
    </customSheetView>
  </customSheetViews>
  <mergeCells count="1">
    <mergeCell ref="C7:E7"/>
  </mergeCells>
  <phoneticPr fontId="24" type="noConversion"/>
  <pageMargins left="0.38" right="0.37" top="0.65" bottom="1" header="0.5" footer="0.5"/>
  <pageSetup paperSize="9" scale="80" orientation="portrait" r:id="rId2"/>
  <headerFooter alignWithMargins="0"/>
  <colBreaks count="1" manualBreakCount="1">
    <brk id="5" max="1048575" man="1"/>
  </colBreaks>
  <ignoredErrors>
    <ignoredError sqref="E37"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H52"/>
  <sheetViews>
    <sheetView workbookViewId="0">
      <selection activeCell="J21" sqref="J21"/>
    </sheetView>
  </sheetViews>
  <sheetFormatPr defaultRowHeight="15.75"/>
  <cols>
    <col min="1" max="1" width="3.625" style="315" customWidth="1"/>
    <col min="2" max="2" width="37.125" style="315" customWidth="1"/>
    <col min="3" max="3" width="9.125" style="315" customWidth="1"/>
    <col min="4" max="4" width="1.5" style="315" customWidth="1"/>
    <col min="5" max="5" width="9.375" style="315" customWidth="1"/>
    <col min="6" max="6" width="1.5" style="315" customWidth="1"/>
    <col min="7" max="7" width="9.125" style="315" customWidth="1"/>
    <col min="8" max="8" width="1.5" style="315" customWidth="1"/>
    <col min="9" max="16384" width="9" style="315"/>
  </cols>
  <sheetData>
    <row r="1" spans="1:8">
      <c r="A1" s="18" t="s">
        <v>16</v>
      </c>
      <c r="B1" s="311"/>
      <c r="C1" s="312"/>
      <c r="D1" s="312"/>
      <c r="E1" s="313"/>
      <c r="F1" s="314"/>
      <c r="G1" s="314"/>
      <c r="H1" s="314"/>
    </row>
    <row r="2" spans="1:8">
      <c r="A2" s="313" t="str">
        <f>[47]UHF!A3</f>
        <v>FOR THE HALF YEAR AND QUARTER ENDED DECEMBER 31, 2011</v>
      </c>
      <c r="B2" s="313"/>
      <c r="C2" s="312"/>
      <c r="D2" s="312"/>
      <c r="E2" s="316"/>
      <c r="F2" s="314"/>
      <c r="G2" s="314"/>
      <c r="H2" s="314"/>
    </row>
    <row r="3" spans="1:8">
      <c r="A3" s="2" t="s">
        <v>175</v>
      </c>
      <c r="B3" s="313"/>
      <c r="C3" s="312"/>
      <c r="D3" s="312"/>
      <c r="E3" s="313"/>
      <c r="F3" s="314"/>
      <c r="G3" s="314"/>
      <c r="H3" s="314"/>
    </row>
    <row r="4" spans="1:8">
      <c r="B4" s="313"/>
      <c r="C4" s="312"/>
      <c r="D4" s="312"/>
      <c r="E4" s="313"/>
      <c r="F4" s="314"/>
      <c r="G4" s="314"/>
      <c r="H4" s="314"/>
    </row>
    <row r="5" spans="1:8">
      <c r="A5" s="313"/>
      <c r="B5" s="313"/>
      <c r="C5" s="312"/>
      <c r="D5" s="312"/>
      <c r="E5" s="313"/>
      <c r="F5" s="314"/>
      <c r="G5" s="314"/>
      <c r="H5" s="314"/>
    </row>
    <row r="6" spans="1:8">
      <c r="A6" s="313"/>
      <c r="B6" s="313"/>
      <c r="C6" s="724" t="s">
        <v>176</v>
      </c>
      <c r="D6" s="317"/>
      <c r="E6" s="724" t="s">
        <v>177</v>
      </c>
      <c r="F6" s="318"/>
      <c r="G6" s="727" t="s">
        <v>178</v>
      </c>
      <c r="H6" s="314"/>
    </row>
    <row r="7" spans="1:8">
      <c r="A7" s="313"/>
      <c r="B7" s="313"/>
      <c r="C7" s="725"/>
      <c r="D7" s="319"/>
      <c r="E7" s="725"/>
      <c r="F7" s="320"/>
      <c r="G7" s="728"/>
      <c r="H7" s="314"/>
    </row>
    <row r="8" spans="1:8">
      <c r="A8" s="313"/>
      <c r="B8" s="313"/>
      <c r="C8" s="725"/>
      <c r="D8" s="319"/>
      <c r="E8" s="725"/>
      <c r="F8" s="320"/>
      <c r="G8" s="728"/>
      <c r="H8" s="314"/>
    </row>
    <row r="9" spans="1:8">
      <c r="A9" s="321"/>
      <c r="B9" s="322"/>
      <c r="C9" s="726"/>
      <c r="D9" s="323"/>
      <c r="E9" s="726"/>
      <c r="F9" s="324"/>
      <c r="G9" s="729"/>
      <c r="H9" s="325"/>
    </row>
    <row r="10" spans="1:8">
      <c r="A10" s="326"/>
      <c r="B10" s="326"/>
      <c r="C10" s="327" t="s">
        <v>179</v>
      </c>
      <c r="D10" s="328"/>
      <c r="E10" s="327" t="s">
        <v>180</v>
      </c>
      <c r="F10" s="329"/>
      <c r="G10" s="327" t="s">
        <v>181</v>
      </c>
      <c r="H10" s="330"/>
    </row>
    <row r="11" spans="1:8">
      <c r="A11" s="331"/>
      <c r="B11" s="332"/>
      <c r="C11" s="730" t="s">
        <v>200</v>
      </c>
      <c r="D11" s="730"/>
      <c r="E11" s="730"/>
      <c r="F11" s="730"/>
      <c r="G11" s="730"/>
      <c r="H11" s="730"/>
    </row>
    <row r="13" spans="1:8">
      <c r="A13" s="333" t="s">
        <v>182</v>
      </c>
    </row>
    <row r="14" spans="1:8">
      <c r="A14" s="334" t="s">
        <v>12</v>
      </c>
    </row>
    <row r="15" spans="1:8">
      <c r="A15" s="335" t="s">
        <v>187</v>
      </c>
      <c r="C15" s="127">
        <v>179542</v>
      </c>
      <c r="E15" s="127">
        <v>179542</v>
      </c>
      <c r="G15" s="127">
        <f>C15-E15</f>
        <v>0</v>
      </c>
    </row>
    <row r="16" spans="1:8">
      <c r="A16" s="335" t="s">
        <v>80</v>
      </c>
      <c r="C16" s="127" t="e">
        <f>'cash flow'!#REF!</f>
        <v>#REF!</v>
      </c>
      <c r="D16" s="127"/>
      <c r="E16" s="127">
        <f>'Qtr - PnL'!G26</f>
        <v>243213</v>
      </c>
      <c r="F16" s="127"/>
      <c r="G16" s="127" t="e">
        <f>C16-E16</f>
        <v>#REF!</v>
      </c>
    </row>
    <row r="17" spans="1:7">
      <c r="A17" s="335" t="s">
        <v>199</v>
      </c>
      <c r="C17" s="127" t="e">
        <f>'cash flow'!#REF!</f>
        <v>#REF!</v>
      </c>
      <c r="D17" s="127"/>
      <c r="E17" s="127">
        <f>'Qtr - PnL'!G27</f>
        <v>45801</v>
      </c>
      <c r="F17" s="127"/>
      <c r="G17" s="127" t="e">
        <f>C17-E17</f>
        <v>#REF!</v>
      </c>
    </row>
    <row r="18" spans="1:7">
      <c r="A18" s="335" t="s">
        <v>104</v>
      </c>
      <c r="C18" s="127">
        <v>6057</v>
      </c>
      <c r="D18" s="127"/>
      <c r="E18" s="127">
        <v>3210</v>
      </c>
      <c r="F18" s="127"/>
      <c r="G18" s="127">
        <f>C18-E18</f>
        <v>2847</v>
      </c>
    </row>
    <row r="19" spans="1:7">
      <c r="A19" s="336"/>
      <c r="C19" s="127"/>
      <c r="D19" s="127"/>
      <c r="E19" s="127"/>
      <c r="F19" s="127"/>
      <c r="G19" s="127"/>
    </row>
    <row r="20" spans="1:7">
      <c r="A20" s="333" t="s">
        <v>113</v>
      </c>
      <c r="C20" s="127"/>
      <c r="D20" s="127"/>
      <c r="E20" s="127"/>
      <c r="F20" s="127"/>
      <c r="G20" s="127"/>
    </row>
    <row r="21" spans="1:7">
      <c r="A21" s="335" t="s">
        <v>184</v>
      </c>
      <c r="C21" s="127">
        <v>11588</v>
      </c>
      <c r="D21" s="127"/>
      <c r="E21" s="127">
        <v>6824</v>
      </c>
      <c r="F21" s="127"/>
      <c r="G21" s="127">
        <f t="shared" ref="G21:G26" si="0">C21-E21</f>
        <v>4764</v>
      </c>
    </row>
    <row r="22" spans="1:7">
      <c r="A22" s="335" t="s">
        <v>183</v>
      </c>
      <c r="C22" s="127">
        <v>0</v>
      </c>
      <c r="D22" s="127"/>
      <c r="E22" s="127">
        <v>0</v>
      </c>
      <c r="F22" s="127"/>
      <c r="G22" s="127">
        <f t="shared" si="0"/>
        <v>0</v>
      </c>
    </row>
    <row r="23" spans="1:7">
      <c r="A23" s="335"/>
      <c r="C23" s="127"/>
      <c r="D23" s="127"/>
      <c r="E23" s="127"/>
      <c r="F23" s="127"/>
      <c r="G23" s="127"/>
    </row>
    <row r="24" spans="1:7">
      <c r="A24" s="286" t="s">
        <v>17</v>
      </c>
      <c r="C24" s="127"/>
      <c r="D24" s="127"/>
      <c r="E24" s="127"/>
      <c r="F24" s="127"/>
      <c r="G24" s="127"/>
    </row>
    <row r="25" spans="1:7">
      <c r="A25" s="335" t="s">
        <v>167</v>
      </c>
      <c r="C25" s="127">
        <v>0</v>
      </c>
      <c r="D25" s="127"/>
      <c r="E25" s="127">
        <v>0</v>
      </c>
      <c r="F25" s="127"/>
      <c r="G25" s="127">
        <f t="shared" si="0"/>
        <v>0</v>
      </c>
    </row>
    <row r="26" spans="1:7">
      <c r="A26" s="335" t="s">
        <v>169</v>
      </c>
      <c r="C26" s="127">
        <v>1747</v>
      </c>
      <c r="D26" s="127"/>
      <c r="E26" s="127">
        <v>1747</v>
      </c>
      <c r="F26" s="127"/>
      <c r="G26" s="127">
        <f t="shared" si="0"/>
        <v>0</v>
      </c>
    </row>
    <row r="27" spans="1:7">
      <c r="A27" s="335" t="s">
        <v>168</v>
      </c>
      <c r="C27" s="127"/>
      <c r="D27" s="127"/>
      <c r="E27" s="127"/>
      <c r="F27" s="127"/>
      <c r="G27" s="127"/>
    </row>
    <row r="28" spans="1:7">
      <c r="A28" s="235"/>
      <c r="C28" s="127"/>
      <c r="D28" s="127"/>
      <c r="E28" s="127"/>
      <c r="F28" s="127"/>
      <c r="G28" s="127"/>
    </row>
    <row r="29" spans="1:7">
      <c r="A29" s="333" t="s">
        <v>150</v>
      </c>
      <c r="C29" s="127"/>
      <c r="D29" s="127"/>
      <c r="E29" s="127"/>
      <c r="F29" s="127"/>
      <c r="G29" s="127"/>
    </row>
    <row r="30" spans="1:7">
      <c r="A30" s="335" t="s">
        <v>167</v>
      </c>
      <c r="C30" s="127">
        <v>0</v>
      </c>
      <c r="D30" s="127"/>
      <c r="E30" s="127">
        <v>0</v>
      </c>
      <c r="F30" s="127"/>
      <c r="G30" s="127">
        <f>C30-E30</f>
        <v>0</v>
      </c>
    </row>
    <row r="31" spans="1:7">
      <c r="A31" s="335" t="s">
        <v>185</v>
      </c>
      <c r="C31" s="127">
        <v>212</v>
      </c>
      <c r="D31" s="127"/>
      <c r="E31" s="127">
        <v>212</v>
      </c>
      <c r="F31" s="127"/>
      <c r="G31" s="127">
        <f>C31-E31</f>
        <v>0</v>
      </c>
    </row>
    <row r="32" spans="1:7">
      <c r="A32" s="335" t="s">
        <v>8</v>
      </c>
      <c r="C32" s="127">
        <v>0</v>
      </c>
      <c r="D32" s="127"/>
      <c r="E32" s="127">
        <v>0</v>
      </c>
      <c r="F32" s="127"/>
      <c r="G32" s="127">
        <f>C32-E32</f>
        <v>0</v>
      </c>
    </row>
    <row r="33" spans="1:7">
      <c r="A33" s="333"/>
      <c r="C33" s="127"/>
      <c r="D33" s="127"/>
      <c r="E33" s="127"/>
      <c r="F33" s="127"/>
      <c r="G33" s="127"/>
    </row>
    <row r="34" spans="1:7">
      <c r="A34" s="333" t="s">
        <v>151</v>
      </c>
      <c r="C34" s="127"/>
      <c r="D34" s="127"/>
      <c r="E34" s="127"/>
      <c r="F34" s="127"/>
      <c r="G34" s="127"/>
    </row>
    <row r="35" spans="1:7">
      <c r="A35" s="335" t="s">
        <v>167</v>
      </c>
      <c r="C35" s="127">
        <v>0</v>
      </c>
      <c r="D35" s="127"/>
      <c r="E35" s="127">
        <v>0</v>
      </c>
      <c r="F35" s="127"/>
      <c r="G35" s="127">
        <f>C35-E35</f>
        <v>0</v>
      </c>
    </row>
    <row r="36" spans="1:7">
      <c r="A36" s="335" t="s">
        <v>186</v>
      </c>
      <c r="C36" s="127">
        <v>1114</v>
      </c>
      <c r="D36" s="127"/>
      <c r="E36" s="127">
        <v>1114</v>
      </c>
      <c r="F36" s="127"/>
      <c r="G36" s="127">
        <f>C36-E36</f>
        <v>0</v>
      </c>
    </row>
    <row r="37" spans="1:7">
      <c r="A37" s="335" t="s">
        <v>8</v>
      </c>
      <c r="C37" s="127">
        <v>0</v>
      </c>
      <c r="D37" s="127"/>
      <c r="E37" s="127">
        <v>0</v>
      </c>
      <c r="F37" s="127"/>
      <c r="G37" s="127">
        <f>C37-E37</f>
        <v>0</v>
      </c>
    </row>
    <row r="38" spans="1:7">
      <c r="A38" s="333"/>
      <c r="C38" s="127"/>
      <c r="D38" s="127"/>
      <c r="E38" s="127"/>
      <c r="F38" s="127"/>
      <c r="G38" s="127"/>
    </row>
    <row r="39" spans="1:7">
      <c r="A39" s="333"/>
      <c r="C39" s="127"/>
      <c r="D39" s="127"/>
      <c r="E39" s="127"/>
      <c r="F39" s="127"/>
      <c r="G39" s="127"/>
    </row>
    <row r="40" spans="1:7">
      <c r="A40" s="335"/>
      <c r="C40" s="127"/>
      <c r="D40" s="127"/>
      <c r="E40" s="127"/>
      <c r="F40" s="127"/>
      <c r="G40" s="127"/>
    </row>
    <row r="41" spans="1:7">
      <c r="A41" s="335"/>
      <c r="C41" s="127"/>
      <c r="D41" s="127"/>
      <c r="E41" s="127"/>
      <c r="F41" s="127"/>
      <c r="G41" s="127"/>
    </row>
    <row r="42" spans="1:7">
      <c r="A42" s="335"/>
      <c r="C42" s="127"/>
      <c r="D42" s="127"/>
      <c r="E42" s="127"/>
      <c r="F42" s="127"/>
      <c r="G42" s="127"/>
    </row>
    <row r="43" spans="1:7">
      <c r="A43" s="335"/>
      <c r="C43" s="127"/>
      <c r="D43" s="127"/>
      <c r="E43" s="127"/>
      <c r="F43" s="127"/>
      <c r="G43" s="127"/>
    </row>
    <row r="44" spans="1:7">
      <c r="A44" s="337"/>
      <c r="C44" s="127"/>
      <c r="D44" s="127"/>
      <c r="E44" s="127"/>
      <c r="F44" s="127"/>
      <c r="G44" s="127"/>
    </row>
    <row r="45" spans="1:7">
      <c r="A45" s="333"/>
      <c r="C45" s="127"/>
      <c r="D45" s="127"/>
      <c r="E45" s="127"/>
      <c r="F45" s="127"/>
      <c r="G45" s="127"/>
    </row>
    <row r="46" spans="1:7">
      <c r="A46" s="335"/>
      <c r="C46" s="127"/>
      <c r="D46" s="127"/>
      <c r="E46" s="127"/>
      <c r="F46" s="127"/>
      <c r="G46" s="127"/>
    </row>
    <row r="47" spans="1:7">
      <c r="A47" s="335"/>
      <c r="C47" s="127"/>
      <c r="D47" s="127"/>
      <c r="E47" s="127"/>
      <c r="F47" s="127"/>
      <c r="G47" s="127"/>
    </row>
    <row r="48" spans="1:7">
      <c r="A48" s="335"/>
      <c r="C48" s="127"/>
      <c r="D48" s="127"/>
      <c r="E48" s="127"/>
      <c r="F48" s="127"/>
      <c r="G48" s="127"/>
    </row>
    <row r="49" spans="1:7">
      <c r="A49" s="333"/>
      <c r="C49" s="127"/>
      <c r="D49" s="127"/>
      <c r="E49" s="127"/>
      <c r="F49" s="127"/>
      <c r="G49" s="127"/>
    </row>
    <row r="50" spans="1:7">
      <c r="A50" s="335"/>
      <c r="C50" s="127"/>
      <c r="D50" s="127"/>
      <c r="E50" s="127"/>
      <c r="F50" s="127"/>
      <c r="G50" s="127"/>
    </row>
    <row r="51" spans="1:7">
      <c r="A51" s="335"/>
      <c r="C51" s="127"/>
      <c r="D51" s="127"/>
      <c r="E51" s="127"/>
      <c r="F51" s="127"/>
      <c r="G51" s="127"/>
    </row>
    <row r="52" spans="1:7">
      <c r="C52" s="338"/>
      <c r="D52" s="338"/>
      <c r="E52" s="338"/>
      <c r="F52" s="338"/>
      <c r="G52" s="338"/>
    </row>
  </sheetData>
  <customSheetViews>
    <customSheetView guid="{84FBBE83-FF6F-4C76-A58E-D04643F715A5}">
      <selection activeCell="C15" sqref="C15"/>
      <pageMargins left="0.7" right="0.7" top="0.75" bottom="0.75" header="0.3" footer="0.3"/>
      <pageSetup scale="110" orientation="portrait" r:id="rId1"/>
    </customSheetView>
  </customSheetViews>
  <mergeCells count="4">
    <mergeCell ref="C6:C9"/>
    <mergeCell ref="E6:E9"/>
    <mergeCell ref="G6:G9"/>
    <mergeCell ref="C11:H11"/>
  </mergeCells>
  <conditionalFormatting sqref="E2">
    <cfRule type="cellIs" dxfId="0" priority="1" stopIfTrue="1" operator="notEqual">
      <formula>0</formula>
    </cfRule>
  </conditionalFormatting>
  <pageMargins left="0.7" right="0.7" top="0.75" bottom="0.75" header="0.3" footer="0.3"/>
  <pageSetup scale="110"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enableFormatConditionsCalculation="0">
    <tabColor indexed="31"/>
  </sheetPr>
  <dimension ref="A1:K104"/>
  <sheetViews>
    <sheetView view="pageBreakPreview" topLeftCell="A16" zoomScaleNormal="75" zoomScaleSheetLayoutView="100" workbookViewId="0">
      <selection activeCell="D27" sqref="D27"/>
    </sheetView>
  </sheetViews>
  <sheetFormatPr defaultRowHeight="12"/>
  <cols>
    <col min="1" max="1" width="42" style="6" customWidth="1"/>
    <col min="2" max="2" width="29" style="6" hidden="1" customWidth="1"/>
    <col min="3" max="3" width="12" style="6" hidden="1" customWidth="1"/>
    <col min="4" max="4" width="16.5" style="6" customWidth="1"/>
    <col min="5" max="5" width="2.5" style="13" customWidth="1"/>
    <col min="6" max="6" width="16.125" style="6" customWidth="1"/>
    <col min="7" max="7" width="0.125" style="6" customWidth="1"/>
    <col min="8" max="8" width="11.75" style="6" hidden="1" customWidth="1"/>
    <col min="9" max="9" width="14.625" style="6" hidden="1" customWidth="1"/>
    <col min="10" max="10" width="9" style="6"/>
    <col min="11" max="11" width="14.5" style="6" bestFit="1" customWidth="1"/>
    <col min="12" max="16384" width="9" style="6"/>
  </cols>
  <sheetData>
    <row r="1" spans="1:10">
      <c r="A1" s="18" t="s">
        <v>16</v>
      </c>
    </row>
    <row r="2" spans="1:10">
      <c r="A2" s="18" t="s">
        <v>120</v>
      </c>
    </row>
    <row r="3" spans="1:10">
      <c r="A3" s="89" t="s">
        <v>212</v>
      </c>
    </row>
    <row r="5" spans="1:10" s="18" customFormat="1" ht="12.75" thickBot="1">
      <c r="D5" s="305" t="s">
        <v>241</v>
      </c>
      <c r="E5" s="224"/>
      <c r="F5" s="173">
        <v>2009</v>
      </c>
      <c r="H5" s="18">
        <v>2009</v>
      </c>
    </row>
    <row r="6" spans="1:10" s="18" customFormat="1" ht="15" customHeight="1">
      <c r="D6" s="306" t="s">
        <v>172</v>
      </c>
      <c r="E6" s="223"/>
      <c r="F6" s="222"/>
    </row>
    <row r="7" spans="1:10">
      <c r="A7" s="18" t="s">
        <v>170</v>
      </c>
    </row>
    <row r="8" spans="1:10">
      <c r="A8" s="18"/>
      <c r="J8" s="225"/>
    </row>
    <row r="9" spans="1:10">
      <c r="A9" s="6" t="s">
        <v>65</v>
      </c>
      <c r="D9" s="6">
        <v>14726</v>
      </c>
      <c r="F9" s="6">
        <v>206975</v>
      </c>
      <c r="H9" s="6">
        <v>32478</v>
      </c>
    </row>
    <row r="10" spans="1:10">
      <c r="A10" s="6" t="s">
        <v>66</v>
      </c>
      <c r="D10" s="6">
        <f>BS!F15</f>
        <v>0</v>
      </c>
      <c r="F10" s="6">
        <v>39858</v>
      </c>
      <c r="H10" s="6">
        <f>D10</f>
        <v>0</v>
      </c>
    </row>
    <row r="11" spans="1:10" ht="12.75" thickBot="1">
      <c r="D11" s="174">
        <f>D9-D10</f>
        <v>14726</v>
      </c>
      <c r="E11" s="42"/>
      <c r="F11" s="174">
        <f>F9-F10</f>
        <v>167117</v>
      </c>
      <c r="H11" s="130">
        <f>H9-H10</f>
        <v>32478</v>
      </c>
    </row>
    <row r="12" spans="1:10" ht="12.75" thickTop="1">
      <c r="D12" s="42"/>
      <c r="E12" s="42"/>
      <c r="F12" s="42"/>
    </row>
    <row r="13" spans="1:10">
      <c r="A13" s="18" t="s">
        <v>55</v>
      </c>
    </row>
    <row r="14" spans="1:10">
      <c r="A14" s="6" t="s">
        <v>65</v>
      </c>
      <c r="D14" s="6">
        <v>2600</v>
      </c>
      <c r="F14" s="6">
        <v>2500</v>
      </c>
      <c r="H14" s="6">
        <f>D14</f>
        <v>2600</v>
      </c>
    </row>
    <row r="15" spans="1:10">
      <c r="A15" s="6" t="s">
        <v>66</v>
      </c>
      <c r="D15" s="6">
        <f>BS!F17</f>
        <v>0</v>
      </c>
      <c r="F15" s="6">
        <v>2500</v>
      </c>
      <c r="H15" s="6">
        <f>D15</f>
        <v>0</v>
      </c>
    </row>
    <row r="16" spans="1:10" ht="12.75" thickBot="1">
      <c r="D16" s="174">
        <f>D14-D15</f>
        <v>2600</v>
      </c>
      <c r="E16" s="42"/>
      <c r="F16" s="174">
        <f>F14-F15</f>
        <v>0</v>
      </c>
      <c r="H16" s="130">
        <f>H14-H15</f>
        <v>2600</v>
      </c>
    </row>
    <row r="17" spans="1:11" ht="12.75" thickTop="1">
      <c r="A17" s="18"/>
    </row>
    <row r="18" spans="1:11" ht="12" customHeight="1">
      <c r="A18" s="18" t="s">
        <v>86</v>
      </c>
    </row>
    <row r="19" spans="1:11" ht="12" customHeight="1">
      <c r="A19" s="6" t="s">
        <v>65</v>
      </c>
      <c r="D19" s="6">
        <f>52051+16597+50000</f>
        <v>118648</v>
      </c>
      <c r="F19" s="6">
        <f>195645-2500</f>
        <v>193145</v>
      </c>
      <c r="H19" s="6">
        <v>352256</v>
      </c>
      <c r="I19" s="172"/>
    </row>
    <row r="20" spans="1:11" ht="12" customHeight="1">
      <c r="A20" s="6" t="s">
        <v>87</v>
      </c>
      <c r="D20" s="49">
        <v>0</v>
      </c>
      <c r="F20" s="49" t="e">
        <f>-'P&amp;L'!#REF!</f>
        <v>#REF!</v>
      </c>
      <c r="H20" s="6" t="e">
        <f>-'P&amp;L'!#REF!</f>
        <v>#REF!</v>
      </c>
      <c r="I20" s="6" t="e">
        <f>'P&amp;L'!#REF!</f>
        <v>#REF!</v>
      </c>
    </row>
    <row r="21" spans="1:11" ht="12" customHeight="1">
      <c r="D21" s="6">
        <f>SUM(D19:D20)</f>
        <v>118648</v>
      </c>
      <c r="F21" s="6" t="e">
        <f>F19+F20</f>
        <v>#REF!</v>
      </c>
      <c r="H21" s="97" t="e">
        <f>SUM(H19:H20)</f>
        <v>#REF!</v>
      </c>
      <c r="I21" s="97" t="e">
        <f>SUM(I19:I20)</f>
        <v>#REF!</v>
      </c>
    </row>
    <row r="22" spans="1:11" ht="12" customHeight="1">
      <c r="A22" s="6" t="s">
        <v>66</v>
      </c>
      <c r="D22" s="6" t="e">
        <f>#REF!+#REF!+#REF!</f>
        <v>#REF!</v>
      </c>
      <c r="F22" s="6">
        <f>228656-2500</f>
        <v>226156</v>
      </c>
      <c r="H22" s="6" t="e">
        <f>D22</f>
        <v>#REF!</v>
      </c>
      <c r="I22" s="6">
        <f>F22</f>
        <v>226156</v>
      </c>
    </row>
    <row r="23" spans="1:11" ht="12" customHeight="1" thickBot="1">
      <c r="D23" s="174" t="e">
        <f>D22-D21</f>
        <v>#REF!</v>
      </c>
      <c r="E23" s="42"/>
      <c r="F23" s="174" t="e">
        <f>F22-F21</f>
        <v>#REF!</v>
      </c>
      <c r="H23" s="130" t="e">
        <f>H22-H21</f>
        <v>#REF!</v>
      </c>
      <c r="I23" s="130" t="e">
        <f>I22-I21</f>
        <v>#REF!</v>
      </c>
    </row>
    <row r="24" spans="1:11" ht="12" customHeight="1" thickTop="1">
      <c r="A24" s="18"/>
    </row>
    <row r="25" spans="1:11" ht="12" customHeight="1">
      <c r="A25" s="18" t="s">
        <v>88</v>
      </c>
      <c r="K25" s="221"/>
    </row>
    <row r="26" spans="1:11" ht="12" customHeight="1">
      <c r="A26" s="6" t="s">
        <v>65</v>
      </c>
      <c r="D26" s="6">
        <f>BS!H12</f>
        <v>85768.523000000001</v>
      </c>
      <c r="F26" s="6">
        <v>45870924</v>
      </c>
      <c r="H26" s="6">
        <v>33040882</v>
      </c>
      <c r="K26" s="221">
        <v>29464973</v>
      </c>
    </row>
    <row r="27" spans="1:11" ht="12" customHeight="1">
      <c r="A27" s="6" t="s">
        <v>66</v>
      </c>
      <c r="D27" s="6">
        <f>BS!F12</f>
        <v>85768.523000000001</v>
      </c>
      <c r="F27" s="49">
        <v>27060689</v>
      </c>
      <c r="H27" s="6">
        <f>D27</f>
        <v>85768.523000000001</v>
      </c>
      <c r="K27" s="221">
        <v>36605465.496520005</v>
      </c>
    </row>
    <row r="28" spans="1:11" ht="12" customHeight="1">
      <c r="A28" s="6" t="s">
        <v>174</v>
      </c>
      <c r="D28" s="97">
        <f>D26-D27</f>
        <v>0</v>
      </c>
      <c r="F28" s="6">
        <f>F26-F27</f>
        <v>18810235</v>
      </c>
      <c r="H28" s="97">
        <f>H26-H27</f>
        <v>32955113.477000002</v>
      </c>
      <c r="K28" s="221">
        <v>-7140492.4965200052</v>
      </c>
    </row>
    <row r="29" spans="1:11" ht="12" hidden="1" customHeight="1">
      <c r="A29" s="6" t="s">
        <v>7</v>
      </c>
      <c r="D29" s="6">
        <v>0</v>
      </c>
      <c r="F29" s="6">
        <v>0</v>
      </c>
      <c r="H29" s="6">
        <v>0</v>
      </c>
      <c r="K29" s="221">
        <v>0</v>
      </c>
    </row>
    <row r="30" spans="1:11" ht="12" customHeight="1">
      <c r="A30" s="6" t="s">
        <v>108</v>
      </c>
      <c r="D30" s="6">
        <f>'P&amp;L'!E20</f>
        <v>0</v>
      </c>
      <c r="F30" s="6">
        <f>'P&amp;L'!G20</f>
        <v>0</v>
      </c>
      <c r="G30" s="6">
        <f>F26-F34</f>
        <v>44953221</v>
      </c>
      <c r="H30" s="6" t="e">
        <f>'P&amp;L'!#REF!</f>
        <v>#REF!</v>
      </c>
      <c r="K30" s="221">
        <v>382213</v>
      </c>
    </row>
    <row r="31" spans="1:11" ht="12" customHeight="1">
      <c r="A31" s="6" t="s">
        <v>117</v>
      </c>
      <c r="D31" s="6">
        <f>UHF!L21</f>
        <v>-7354.81</v>
      </c>
      <c r="F31" s="6">
        <v>-2497345</v>
      </c>
      <c r="G31" s="6">
        <f>G30+F31+F30</f>
        <v>42455876</v>
      </c>
      <c r="H31" s="6" t="e">
        <f>#REF!</f>
        <v>#REF!</v>
      </c>
      <c r="K31" s="221">
        <v>5116045</v>
      </c>
    </row>
    <row r="32" spans="1:11" ht="12" hidden="1" customHeight="1">
      <c r="A32" s="6" t="s">
        <v>74</v>
      </c>
      <c r="D32" s="6">
        <v>0</v>
      </c>
      <c r="F32" s="6">
        <v>0</v>
      </c>
      <c r="H32" s="6">
        <v>0</v>
      </c>
      <c r="K32" s="221">
        <v>0</v>
      </c>
    </row>
    <row r="33" spans="1:11" ht="12" customHeight="1">
      <c r="A33" s="6" t="s">
        <v>7</v>
      </c>
      <c r="D33" s="6">
        <f>-'P&amp;L'!E23</f>
        <v>0</v>
      </c>
      <c r="F33" s="6">
        <f>-15395187</f>
        <v>-15395187</v>
      </c>
      <c r="K33" s="221">
        <v>-115307</v>
      </c>
    </row>
    <row r="34" spans="1:11" ht="12" customHeight="1" thickBot="1">
      <c r="A34" s="18"/>
      <c r="D34" s="174">
        <f>SUM(D28:D33)</f>
        <v>-7354.81</v>
      </c>
      <c r="E34" s="42"/>
      <c r="F34" s="178">
        <f>SUM(F28:F33)</f>
        <v>917703</v>
      </c>
      <c r="H34" s="130" t="e">
        <f>SUM(H28:H32)</f>
        <v>#REF!</v>
      </c>
      <c r="K34" s="221">
        <v>-1757541.4965200052</v>
      </c>
    </row>
    <row r="35" spans="1:11" ht="12" customHeight="1" thickTop="1">
      <c r="A35" s="18"/>
      <c r="D35" s="42"/>
      <c r="E35" s="42"/>
      <c r="F35" s="42"/>
    </row>
    <row r="36" spans="1:11" ht="12" customHeight="1">
      <c r="A36" s="18" t="s">
        <v>138</v>
      </c>
    </row>
    <row r="37" spans="1:11" ht="12" customHeight="1">
      <c r="A37" s="6" t="s">
        <v>65</v>
      </c>
      <c r="D37" s="6">
        <v>1000000</v>
      </c>
      <c r="F37" s="6">
        <v>2850000</v>
      </c>
    </row>
    <row r="38" spans="1:11" ht="12" customHeight="1">
      <c r="A38" s="6" t="s">
        <v>66</v>
      </c>
      <c r="D38" s="6">
        <f>BS!F31</f>
        <v>0</v>
      </c>
      <c r="F38" s="6">
        <v>1200000</v>
      </c>
    </row>
    <row r="39" spans="1:11" ht="12" customHeight="1" thickBot="1">
      <c r="D39" s="174">
        <f>D38-D37</f>
        <v>-1000000</v>
      </c>
      <c r="E39" s="42"/>
      <c r="F39" s="174">
        <f>F38-F37</f>
        <v>-1650000</v>
      </c>
    </row>
    <row r="40" spans="1:11" ht="12" customHeight="1" thickTop="1">
      <c r="A40" s="18"/>
    </row>
    <row r="41" spans="1:11" ht="12" customHeight="1">
      <c r="A41" s="18" t="s">
        <v>224</v>
      </c>
    </row>
    <row r="42" spans="1:11" ht="12" customHeight="1">
      <c r="A42" s="6" t="s">
        <v>65</v>
      </c>
      <c r="D42" s="6" t="e">
        <f>BS!#REF!</f>
        <v>#REF!</v>
      </c>
    </row>
    <row r="43" spans="1:11" ht="12" customHeight="1">
      <c r="A43" s="6" t="s">
        <v>66</v>
      </c>
      <c r="D43" s="6" t="e">
        <f>BS!#REF!</f>
        <v>#REF!</v>
      </c>
    </row>
    <row r="44" spans="1:11" ht="12" customHeight="1" thickBot="1">
      <c r="D44" s="174" t="e">
        <f>D43-D42</f>
        <v>#REF!</v>
      </c>
    </row>
    <row r="45" spans="1:11" ht="12" customHeight="1" thickTop="1">
      <c r="A45" s="18"/>
    </row>
    <row r="46" spans="1:11" ht="12" customHeight="1">
      <c r="A46" s="18" t="s">
        <v>91</v>
      </c>
    </row>
    <row r="47" spans="1:11" ht="12" customHeight="1">
      <c r="A47" s="6" t="s">
        <v>65</v>
      </c>
      <c r="D47" s="6">
        <f>BS!H34</f>
        <v>0</v>
      </c>
      <c r="F47" s="6">
        <f>68111-45585</f>
        <v>22526</v>
      </c>
      <c r="H47" s="6">
        <v>48425</v>
      </c>
    </row>
    <row r="48" spans="1:11" ht="12" customHeight="1">
      <c r="A48" s="6" t="s">
        <v>66</v>
      </c>
      <c r="D48" s="6">
        <f>BS!F34</f>
        <v>0</v>
      </c>
      <c r="F48" s="6">
        <f>55457-21614</f>
        <v>33843</v>
      </c>
      <c r="H48" s="6">
        <f>D48</f>
        <v>0</v>
      </c>
    </row>
    <row r="49" spans="1:11" ht="12" customHeight="1" thickBot="1">
      <c r="D49" s="174">
        <f>D48-D47</f>
        <v>0</v>
      </c>
      <c r="E49" s="42"/>
      <c r="F49" s="174">
        <f>F48-F47</f>
        <v>11317</v>
      </c>
      <c r="H49" s="130">
        <f>H48-H47</f>
        <v>-48425</v>
      </c>
    </row>
    <row r="50" spans="1:11" ht="12" customHeight="1" thickTop="1">
      <c r="A50" s="18"/>
    </row>
    <row r="51" spans="1:11" ht="12" customHeight="1">
      <c r="A51" s="18" t="s">
        <v>56</v>
      </c>
    </row>
    <row r="52" spans="1:11" ht="12" customHeight="1">
      <c r="A52" s="6" t="s">
        <v>65</v>
      </c>
      <c r="D52" s="6">
        <f>BS!H33</f>
        <v>3232</v>
      </c>
      <c r="F52" s="6">
        <v>45585</v>
      </c>
      <c r="H52" s="6">
        <v>6916</v>
      </c>
    </row>
    <row r="53" spans="1:11" ht="12" customHeight="1">
      <c r="A53" s="6" t="s">
        <v>66</v>
      </c>
      <c r="D53" s="6">
        <f>BS!F33</f>
        <v>4073</v>
      </c>
      <c r="F53" s="6">
        <v>21614</v>
      </c>
      <c r="H53" s="6">
        <f>D53</f>
        <v>4073</v>
      </c>
    </row>
    <row r="54" spans="1:11" ht="12" customHeight="1" thickBot="1">
      <c r="D54" s="174">
        <f>D53-D52</f>
        <v>841</v>
      </c>
      <c r="E54" s="42"/>
      <c r="F54" s="178">
        <f>F53-F52</f>
        <v>-23971</v>
      </c>
      <c r="H54" s="130">
        <f>H53-H52</f>
        <v>-2843</v>
      </c>
    </row>
    <row r="55" spans="1:11" ht="12" customHeight="1" thickTop="1">
      <c r="A55" s="18"/>
      <c r="D55" s="42"/>
      <c r="E55" s="42"/>
      <c r="F55" s="42"/>
    </row>
    <row r="56" spans="1:11" ht="12" customHeight="1">
      <c r="A56" s="18" t="s">
        <v>118</v>
      </c>
    </row>
    <row r="57" spans="1:11" ht="12" customHeight="1">
      <c r="A57" s="6" t="s">
        <v>65</v>
      </c>
      <c r="D57" s="118">
        <f>BS!H32</f>
        <v>360.23700000000002</v>
      </c>
      <c r="F57" s="121">
        <v>1144992</v>
      </c>
      <c r="H57" s="12"/>
      <c r="K57" s="220">
        <v>58920</v>
      </c>
    </row>
    <row r="58" spans="1:11" ht="12" customHeight="1">
      <c r="A58" s="6" t="s">
        <v>127</v>
      </c>
      <c r="D58" s="119">
        <f>-57335.677*0</f>
        <v>0</v>
      </c>
      <c r="F58" s="122">
        <v>-455853</v>
      </c>
      <c r="H58" s="15"/>
      <c r="K58" s="220">
        <v>-14704</v>
      </c>
    </row>
    <row r="59" spans="1:11" ht="12" customHeight="1">
      <c r="A59" s="6" t="s">
        <v>26</v>
      </c>
      <c r="D59" s="120">
        <v>0</v>
      </c>
      <c r="F59" s="123">
        <v>-235948</v>
      </c>
      <c r="H59" s="17"/>
      <c r="K59" s="220">
        <v>-3287</v>
      </c>
    </row>
    <row r="60" spans="1:11" ht="12" customHeight="1">
      <c r="A60" s="6" t="s">
        <v>128</v>
      </c>
      <c r="D60" s="6">
        <f>SUM(D57:D59)</f>
        <v>360.23700000000002</v>
      </c>
      <c r="F60" s="6">
        <f>SUM(F57:F59)</f>
        <v>453191</v>
      </c>
      <c r="H60" s="129"/>
      <c r="K60" s="220">
        <v>40929</v>
      </c>
    </row>
    <row r="61" spans="1:11" ht="12" customHeight="1">
      <c r="K61" s="220"/>
    </row>
    <row r="62" spans="1:11" ht="12" customHeight="1">
      <c r="A62" s="6" t="s">
        <v>102</v>
      </c>
      <c r="D62" s="118">
        <f>+BS!F32</f>
        <v>631.38699999999994</v>
      </c>
      <c r="F62" s="121">
        <v>1020013</v>
      </c>
      <c r="H62" s="12"/>
      <c r="K62" s="220">
        <v>95938.000919999991</v>
      </c>
    </row>
    <row r="63" spans="1:11" ht="12" customHeight="1">
      <c r="A63" s="6" t="s">
        <v>119</v>
      </c>
      <c r="D63" s="119" t="e">
        <f>-#REF!*0</f>
        <v>#REF!</v>
      </c>
      <c r="F63" s="122">
        <v>-673720</v>
      </c>
      <c r="H63" s="15"/>
      <c r="K63" s="220">
        <v>-30247</v>
      </c>
    </row>
    <row r="64" spans="1:11" ht="12" customHeight="1">
      <c r="A64" s="6" t="s">
        <v>68</v>
      </c>
      <c r="D64" s="120" t="e">
        <f>-#REF!*0</f>
        <v>#REF!</v>
      </c>
      <c r="F64" s="123">
        <v>-361</v>
      </c>
      <c r="H64" s="15"/>
      <c r="K64" s="220">
        <v>-5415</v>
      </c>
    </row>
    <row r="65" spans="1:11" ht="12" customHeight="1">
      <c r="D65" s="13" t="e">
        <f>SUM(D62:D64)</f>
        <v>#REF!</v>
      </c>
      <c r="F65" s="13">
        <f>SUM(F62:F64)</f>
        <v>345932</v>
      </c>
      <c r="H65" s="17"/>
      <c r="K65" s="220">
        <v>60276.000919999991</v>
      </c>
    </row>
    <row r="66" spans="1:11" ht="12" customHeight="1" thickBot="1">
      <c r="A66" s="6" t="s">
        <v>69</v>
      </c>
      <c r="D66" s="175" t="e">
        <f>D65-D60</f>
        <v>#REF!</v>
      </c>
      <c r="E66" s="42"/>
      <c r="F66" s="175">
        <f>F65-F60</f>
        <v>-107259</v>
      </c>
      <c r="H66" s="131"/>
      <c r="K66" s="220">
        <v>19347.000919999991</v>
      </c>
    </row>
    <row r="67" spans="1:11" ht="12.75" thickTop="1"/>
    <row r="68" spans="1:11">
      <c r="A68" s="18" t="s">
        <v>70</v>
      </c>
    </row>
    <row r="69" spans="1:11">
      <c r="A69" s="6" t="s">
        <v>71</v>
      </c>
      <c r="D69" s="6">
        <f>BS!H35</f>
        <v>98251</v>
      </c>
      <c r="F69" s="6">
        <v>150442</v>
      </c>
      <c r="H69" s="6">
        <v>1285418</v>
      </c>
    </row>
    <row r="70" spans="1:11">
      <c r="A70" s="6" t="s">
        <v>14</v>
      </c>
      <c r="D70" s="6">
        <f>-UHF!L32</f>
        <v>0</v>
      </c>
      <c r="F70" s="6">
        <v>5602949</v>
      </c>
      <c r="H70" s="6">
        <v>0</v>
      </c>
    </row>
    <row r="71" spans="1:11">
      <c r="A71" s="6" t="s">
        <v>72</v>
      </c>
      <c r="D71" s="6">
        <f>-UHF!L16</f>
        <v>0</v>
      </c>
      <c r="F71" s="6">
        <v>-2014671</v>
      </c>
      <c r="H71" s="6">
        <v>0</v>
      </c>
    </row>
    <row r="72" spans="1:11">
      <c r="A72" s="6" t="s">
        <v>66</v>
      </c>
      <c r="D72" s="6">
        <f>BS!F35</f>
        <v>259165</v>
      </c>
      <c r="F72" s="6">
        <v>230264</v>
      </c>
      <c r="H72" s="6">
        <f>D72</f>
        <v>259165</v>
      </c>
    </row>
    <row r="73" spans="1:11" ht="12.75" thickBot="1">
      <c r="D73" s="174">
        <f>D69+D70+D71-D72</f>
        <v>-160914</v>
      </c>
      <c r="E73" s="42"/>
      <c r="F73" s="174">
        <f>F69+F70+F71-F72</f>
        <v>3508456</v>
      </c>
      <c r="H73" s="130">
        <f>H69+H70+H71-H72</f>
        <v>1026253</v>
      </c>
    </row>
    <row r="74" spans="1:11" s="18" customFormat="1" ht="12.75" thickTop="1">
      <c r="E74" s="42"/>
    </row>
    <row r="75" spans="1:11">
      <c r="A75" s="18" t="s">
        <v>73</v>
      </c>
    </row>
    <row r="76" spans="1:11">
      <c r="A76" s="6" t="s">
        <v>101</v>
      </c>
      <c r="D76" s="6">
        <f>-D58</f>
        <v>0</v>
      </c>
      <c r="F76" s="6">
        <f>-F58</f>
        <v>455853</v>
      </c>
      <c r="H76" s="6">
        <f>-H58</f>
        <v>0</v>
      </c>
      <c r="I76" s="172"/>
    </row>
    <row r="77" spans="1:11">
      <c r="A77" s="6" t="s">
        <v>189</v>
      </c>
      <c r="D77" s="6">
        <f>'P&amp;L'!E24</f>
        <v>981.37200000000007</v>
      </c>
      <c r="F77" s="6">
        <f>'P&amp;L'!G24</f>
        <v>385.68799999999999</v>
      </c>
      <c r="I77" s="6" t="e">
        <f>'P&amp;L'!#REF!</f>
        <v>#REF!</v>
      </c>
    </row>
    <row r="78" spans="1:11">
      <c r="A78" s="6" t="s">
        <v>203</v>
      </c>
      <c r="D78" s="6">
        <f>'P&amp;L'!E25</f>
        <v>159.38499999999999</v>
      </c>
    </row>
    <row r="79" spans="1:11">
      <c r="A79" s="6" t="s">
        <v>102</v>
      </c>
      <c r="D79" s="6" t="e">
        <f>-'cash flow working'!D63</f>
        <v>#REF!</v>
      </c>
      <c r="F79" s="6">
        <f>-F63</f>
        <v>673720</v>
      </c>
      <c r="I79" s="6">
        <f>F79</f>
        <v>673720</v>
      </c>
    </row>
    <row r="80" spans="1:11" s="18" customFormat="1" ht="12.75" thickBot="1">
      <c r="D80" s="174" t="e">
        <f>D76+D77-D79+D78</f>
        <v>#REF!</v>
      </c>
      <c r="E80" s="42"/>
      <c r="F80" s="174">
        <f>F76+F77-F79</f>
        <v>-217481.31199999998</v>
      </c>
      <c r="I80" s="130" t="e">
        <f>I76+I77-I79</f>
        <v>#REF!</v>
      </c>
    </row>
    <row r="81" spans="1:6" ht="12.75" thickTop="1"/>
    <row r="82" spans="1:6" s="18" customFormat="1">
      <c r="A82" s="107" t="s">
        <v>103</v>
      </c>
      <c r="E82" s="42"/>
    </row>
    <row r="83" spans="1:6" s="18" customFormat="1">
      <c r="A83" s="6" t="s">
        <v>57</v>
      </c>
      <c r="D83" s="6">
        <f>UHF!L10</f>
        <v>9448.2690000000002</v>
      </c>
      <c r="E83" s="13"/>
      <c r="F83" s="6">
        <v>-903030</v>
      </c>
    </row>
    <row r="84" spans="1:6" s="18" customFormat="1">
      <c r="A84" s="6" t="s">
        <v>58</v>
      </c>
      <c r="D84" s="6">
        <f>UHF!L12</f>
        <v>0</v>
      </c>
      <c r="E84" s="13"/>
      <c r="F84" s="6">
        <v>3472372</v>
      </c>
    </row>
    <row r="85" spans="1:6" s="18" customFormat="1">
      <c r="A85" s="6" t="s">
        <v>59</v>
      </c>
      <c r="D85" s="6">
        <f>-D59</f>
        <v>0</v>
      </c>
      <c r="E85" s="13"/>
      <c r="F85" s="6">
        <f>-F59</f>
        <v>235948</v>
      </c>
    </row>
    <row r="86" spans="1:6">
      <c r="A86" s="6" t="s">
        <v>60</v>
      </c>
      <c r="D86" s="6" t="e">
        <f>-D64</f>
        <v>#REF!</v>
      </c>
      <c r="F86" s="6">
        <f>-F64</f>
        <v>361</v>
      </c>
    </row>
    <row r="87" spans="1:6" ht="12.75" thickBot="1">
      <c r="D87" s="174" t="e">
        <f>D83+D84-D85+D86</f>
        <v>#REF!</v>
      </c>
      <c r="E87" s="42"/>
      <c r="F87" s="174">
        <f>F83+F84-F85+F86</f>
        <v>2333755</v>
      </c>
    </row>
    <row r="88" spans="1:6" ht="12.75" thickTop="1">
      <c r="A88" s="18" t="s">
        <v>137</v>
      </c>
    </row>
    <row r="89" spans="1:6">
      <c r="A89" s="6" t="s">
        <v>65</v>
      </c>
      <c r="D89" s="6">
        <v>0</v>
      </c>
      <c r="F89" s="6">
        <v>18191</v>
      </c>
    </row>
    <row r="90" spans="1:6">
      <c r="A90" s="6" t="s">
        <v>66</v>
      </c>
      <c r="D90" s="6">
        <v>0</v>
      </c>
      <c r="F90" s="6">
        <v>0</v>
      </c>
    </row>
    <row r="91" spans="1:6" ht="12.75" thickBot="1">
      <c r="D91" s="174">
        <f>D89-D90</f>
        <v>0</v>
      </c>
      <c r="E91" s="42"/>
      <c r="F91" s="174">
        <f>F89-F90</f>
        <v>18191</v>
      </c>
    </row>
    <row r="92" spans="1:6" ht="12" customHeight="1" thickTop="1">
      <c r="A92" s="18" t="s">
        <v>121</v>
      </c>
    </row>
    <row r="93" spans="1:6" ht="12" customHeight="1">
      <c r="A93" s="6" t="s">
        <v>65</v>
      </c>
      <c r="D93" s="6">
        <v>0</v>
      </c>
      <c r="F93" s="6">
        <v>1979</v>
      </c>
    </row>
    <row r="94" spans="1:6" ht="12" customHeight="1">
      <c r="A94" s="6" t="s">
        <v>66</v>
      </c>
      <c r="D94" s="6">
        <v>0</v>
      </c>
      <c r="F94" s="6">
        <v>0</v>
      </c>
    </row>
    <row r="95" spans="1:6" ht="12" customHeight="1" thickBot="1">
      <c r="D95" s="174">
        <f>D94-D93</f>
        <v>0</v>
      </c>
      <c r="E95" s="42"/>
      <c r="F95" s="174">
        <f>F94-F93</f>
        <v>-1979</v>
      </c>
    </row>
    <row r="96" spans="1:6" ht="12" customHeight="1" thickTop="1">
      <c r="A96" s="18"/>
    </row>
    <row r="97" spans="1:6">
      <c r="A97" s="6" t="s">
        <v>114</v>
      </c>
      <c r="D97" s="18" t="e">
        <f>D95+D91+D87</f>
        <v>#REF!</v>
      </c>
      <c r="F97" s="18">
        <f>F95+F91+F87</f>
        <v>2349967</v>
      </c>
    </row>
    <row r="101" spans="1:6">
      <c r="D101" s="6" t="e">
        <f>D9+#REF!+D14+D19+D26-BS!H27+BS!H11+D89</f>
        <v>#REF!</v>
      </c>
      <c r="F101" s="6" t="e">
        <f>+F9+F14+F19+F26+F89+3473180-49800787+#REF!</f>
        <v>#REF!</v>
      </c>
    </row>
    <row r="102" spans="1:6">
      <c r="D102" s="6">
        <f>+D37+D47+D52+D57+D69-BS!H36</f>
        <v>1101843.237</v>
      </c>
      <c r="F102" s="6">
        <f>+F37+F47+F52+F57+F69-4215524+F93</f>
        <v>0</v>
      </c>
    </row>
    <row r="103" spans="1:6">
      <c r="D103" s="6" t="e">
        <f>D10+#REF!+D15+D22+D27+D90-BS!F27+BS!F11</f>
        <v>#REF!</v>
      </c>
      <c r="F103" s="6" t="e">
        <f>+F10+#REF!+F15+F22+F27-27757523+F90</f>
        <v>#REF!</v>
      </c>
    </row>
    <row r="104" spans="1:6">
      <c r="D104" s="6">
        <f>D38+D48+D53+D62+D72+D94-BS!F36</f>
        <v>263869.38699999999</v>
      </c>
      <c r="F104" s="6">
        <f>+F38+F48+F53+F62+F72-2505734+F94</f>
        <v>0</v>
      </c>
    </row>
  </sheetData>
  <customSheetViews>
    <customSheetView guid="{84FBBE83-FF6F-4C76-A58E-D04643F715A5}" showPageBreaks="1" printArea="1" hiddenRows="1" hiddenColumns="1" view="pageBreakPreview" topLeftCell="A9">
      <selection activeCell="A34" sqref="A34"/>
      <rowBreaks count="1" manualBreakCount="1">
        <brk id="50" max="4" man="1"/>
      </rowBreaks>
      <pageMargins left="0.75" right="0.75" top="0.55000000000000004" bottom="1" header="0.23" footer="0.28000000000000003"/>
      <pageSetup paperSize="9" fitToWidth="2" fitToHeight="2" orientation="portrait" r:id="rId1"/>
      <headerFooter alignWithMargins="0"/>
    </customSheetView>
  </customSheetViews>
  <phoneticPr fontId="24" type="noConversion"/>
  <pageMargins left="0.75" right="0.75" top="0.55000000000000004" bottom="1" header="0.23" footer="0.28000000000000003"/>
  <pageSetup paperSize="9" fitToWidth="2" fitToHeight="2" orientation="portrait" r:id="rId2"/>
  <headerFooter alignWithMargins="0"/>
  <rowBreaks count="1" manualBreakCount="1">
    <brk id="55" max="4" man="1"/>
  </rowBreaks>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L76"/>
  <sheetViews>
    <sheetView view="pageBreakPreview" zoomScaleSheetLayoutView="100" workbookViewId="0">
      <selection activeCell="A90" sqref="A90"/>
    </sheetView>
  </sheetViews>
  <sheetFormatPr defaultRowHeight="12"/>
  <cols>
    <col min="1" max="1" width="5.125" style="56" customWidth="1"/>
    <col min="2" max="2" width="3.625" style="59" customWidth="1"/>
    <col min="3" max="3" width="26.875" style="57" customWidth="1"/>
    <col min="4" max="4" width="9.625" style="30" bestFit="1" customWidth="1"/>
    <col min="5" max="5" width="1" style="385" customWidth="1"/>
    <col min="6" max="6" width="9.625" style="57" bestFit="1" customWidth="1"/>
    <col min="7" max="7" width="1.125" style="387" customWidth="1"/>
    <col min="8" max="8" width="11.75" style="57" customWidth="1"/>
    <col min="9" max="9" width="1.125" style="387" customWidth="1"/>
    <col min="10" max="10" width="10.75" style="57" bestFit="1" customWidth="1"/>
    <col min="11" max="11" width="0.875" style="387" customWidth="1"/>
    <col min="12" max="12" width="8.5" style="57" customWidth="1"/>
    <col min="13" max="16384" width="9" style="57"/>
  </cols>
  <sheetData>
    <row r="1" spans="1:12">
      <c r="A1" s="111" t="s">
        <v>267</v>
      </c>
      <c r="B1" s="37"/>
      <c r="C1" s="37"/>
      <c r="D1" s="37"/>
      <c r="E1" s="37"/>
      <c r="F1" s="37"/>
      <c r="G1" s="37"/>
    </row>
    <row r="2" spans="1:12">
      <c r="A2" s="56" t="s">
        <v>255</v>
      </c>
      <c r="B2" s="37"/>
      <c r="C2" s="37"/>
      <c r="D2" s="37"/>
      <c r="E2" s="37"/>
      <c r="F2" s="37"/>
      <c r="G2" s="37"/>
      <c r="H2" s="47"/>
      <c r="I2" s="47"/>
      <c r="J2" s="47"/>
      <c r="K2" s="47"/>
      <c r="L2" s="47"/>
    </row>
    <row r="3" spans="1:12">
      <c r="A3" s="112" t="s">
        <v>318</v>
      </c>
      <c r="B3" s="58"/>
      <c r="C3" s="58"/>
      <c r="D3" s="58"/>
      <c r="E3" s="58"/>
      <c r="F3" s="58"/>
      <c r="G3" s="58"/>
      <c r="H3" s="58"/>
      <c r="I3" s="58"/>
      <c r="J3" s="58"/>
      <c r="K3" s="58"/>
      <c r="L3" s="58"/>
    </row>
    <row r="4" spans="1:12" ht="5.25" customHeight="1">
      <c r="A4" s="112"/>
      <c r="B4" s="58"/>
      <c r="C4" s="58"/>
      <c r="D4" s="58"/>
      <c r="E4" s="58"/>
      <c r="F4" s="58"/>
      <c r="G4" s="58"/>
      <c r="H4" s="58"/>
      <c r="I4" s="58"/>
      <c r="J4" s="58"/>
      <c r="K4" s="58"/>
      <c r="L4" s="58"/>
    </row>
    <row r="5" spans="1:12">
      <c r="A5" s="31">
        <v>1</v>
      </c>
      <c r="B5" s="56" t="s">
        <v>140</v>
      </c>
      <c r="C5" s="37"/>
      <c r="F5" s="44"/>
      <c r="G5" s="44"/>
    </row>
    <row r="6" spans="1:12" ht="3" customHeight="1">
      <c r="A6" s="113"/>
      <c r="D6" s="44"/>
      <c r="E6" s="44"/>
    </row>
    <row r="7" spans="1:12">
      <c r="A7" s="114"/>
      <c r="B7" s="573" t="s">
        <v>342</v>
      </c>
      <c r="C7" s="576"/>
      <c r="D7" s="576"/>
      <c r="E7" s="576"/>
      <c r="F7" s="577"/>
      <c r="G7" s="577"/>
      <c r="H7" s="577"/>
      <c r="I7" s="577"/>
      <c r="J7" s="577"/>
      <c r="K7" s="577"/>
      <c r="L7" s="577"/>
    </row>
    <row r="8" spans="1:12">
      <c r="A8" s="114"/>
      <c r="B8" s="573" t="s">
        <v>343</v>
      </c>
      <c r="C8" s="576"/>
      <c r="D8" s="576"/>
      <c r="E8" s="576"/>
      <c r="F8" s="577"/>
      <c r="G8" s="577"/>
      <c r="H8" s="577"/>
      <c r="I8" s="577"/>
      <c r="J8" s="577"/>
      <c r="K8" s="577"/>
      <c r="L8" s="577"/>
    </row>
    <row r="9" spans="1:12">
      <c r="A9" s="114"/>
      <c r="B9" s="573" t="s">
        <v>344</v>
      </c>
      <c r="C9" s="576"/>
      <c r="D9" s="576"/>
      <c r="E9" s="576"/>
      <c r="F9" s="577"/>
      <c r="G9" s="577"/>
      <c r="H9" s="577"/>
      <c r="I9" s="577"/>
      <c r="J9" s="577"/>
      <c r="K9" s="577"/>
      <c r="L9" s="577"/>
    </row>
    <row r="10" spans="1:12">
      <c r="A10" s="114"/>
      <c r="B10" s="574" t="s">
        <v>345</v>
      </c>
      <c r="C10" s="576"/>
      <c r="D10" s="576"/>
      <c r="E10" s="576"/>
      <c r="F10" s="577"/>
      <c r="G10" s="577"/>
      <c r="H10" s="577"/>
      <c r="I10" s="577"/>
      <c r="J10" s="577"/>
      <c r="K10" s="577"/>
      <c r="L10" s="577"/>
    </row>
    <row r="11" spans="1:12" ht="8.25" customHeight="1">
      <c r="A11" s="98"/>
    </row>
    <row r="12" spans="1:12">
      <c r="A12" s="98"/>
      <c r="B12" s="575" t="s">
        <v>346</v>
      </c>
      <c r="C12" s="572"/>
      <c r="D12" s="572"/>
      <c r="E12" s="572"/>
      <c r="F12" s="572"/>
      <c r="G12" s="572"/>
      <c r="H12" s="572"/>
      <c r="I12" s="572"/>
      <c r="J12" s="572"/>
      <c r="K12" s="572"/>
      <c r="L12" s="572"/>
    </row>
    <row r="13" spans="1:12">
      <c r="A13" s="98"/>
      <c r="B13" s="575" t="s">
        <v>347</v>
      </c>
      <c r="C13" s="572"/>
      <c r="D13" s="572"/>
      <c r="E13" s="572"/>
      <c r="F13" s="572"/>
      <c r="G13" s="572"/>
      <c r="H13" s="572"/>
      <c r="I13" s="572"/>
      <c r="J13" s="572"/>
      <c r="K13" s="572"/>
      <c r="L13" s="572"/>
    </row>
    <row r="14" spans="1:12">
      <c r="A14" s="98"/>
      <c r="B14" s="575" t="s">
        <v>348</v>
      </c>
      <c r="C14" s="572"/>
      <c r="D14" s="572"/>
      <c r="E14" s="572"/>
      <c r="F14" s="572"/>
      <c r="G14" s="572"/>
      <c r="H14" s="572"/>
      <c r="I14" s="572"/>
      <c r="J14" s="572"/>
      <c r="K14" s="572"/>
      <c r="L14" s="572"/>
    </row>
    <row r="15" spans="1:12">
      <c r="A15" s="98"/>
      <c r="B15" s="575"/>
      <c r="C15" s="572"/>
      <c r="D15" s="572"/>
      <c r="E15" s="572"/>
      <c r="F15" s="572"/>
      <c r="G15" s="572"/>
      <c r="H15" s="572"/>
      <c r="I15" s="572"/>
      <c r="J15" s="572"/>
      <c r="K15" s="572"/>
      <c r="L15" s="572"/>
    </row>
    <row r="16" spans="1:12">
      <c r="A16" s="98"/>
      <c r="B16" s="574" t="s">
        <v>349</v>
      </c>
      <c r="C16" s="572"/>
      <c r="D16" s="572"/>
      <c r="E16" s="572"/>
      <c r="F16" s="572"/>
      <c r="G16" s="572"/>
      <c r="H16" s="572"/>
      <c r="I16" s="572"/>
      <c r="J16" s="572"/>
      <c r="K16" s="572"/>
      <c r="L16" s="572"/>
    </row>
    <row r="17" spans="1:12">
      <c r="A17" s="98"/>
      <c r="B17" s="574" t="s">
        <v>350</v>
      </c>
      <c r="C17" s="572"/>
      <c r="D17" s="572"/>
      <c r="E17" s="572"/>
      <c r="F17" s="572"/>
      <c r="G17" s="572"/>
      <c r="H17" s="572"/>
      <c r="I17" s="572"/>
      <c r="J17" s="572"/>
      <c r="K17" s="572"/>
      <c r="L17" s="572"/>
    </row>
    <row r="18" spans="1:12">
      <c r="A18" s="98"/>
      <c r="B18" s="574" t="s">
        <v>351</v>
      </c>
      <c r="C18" s="572"/>
      <c r="D18" s="572"/>
      <c r="E18" s="572"/>
      <c r="F18" s="572"/>
      <c r="G18" s="572"/>
      <c r="H18" s="572"/>
      <c r="I18" s="572"/>
      <c r="J18" s="572"/>
      <c r="K18" s="572"/>
      <c r="L18" s="572"/>
    </row>
    <row r="19" spans="1:12">
      <c r="A19" s="98"/>
      <c r="B19" s="572"/>
      <c r="C19" s="572"/>
      <c r="D19" s="572"/>
      <c r="E19" s="572"/>
      <c r="F19" s="572"/>
      <c r="G19" s="572"/>
      <c r="H19" s="572"/>
      <c r="I19" s="572"/>
      <c r="J19" s="572"/>
      <c r="K19" s="572"/>
      <c r="L19" s="572"/>
    </row>
    <row r="20" spans="1:12">
      <c r="A20" s="98"/>
      <c r="B20" s="574" t="s">
        <v>352</v>
      </c>
      <c r="C20" s="571"/>
      <c r="D20" s="571"/>
      <c r="E20" s="571"/>
      <c r="F20" s="571"/>
      <c r="G20" s="571"/>
      <c r="H20" s="571"/>
      <c r="I20" s="571"/>
      <c r="J20" s="571"/>
      <c r="K20" s="571"/>
      <c r="L20" s="571"/>
    </row>
    <row r="21" spans="1:12">
      <c r="A21" s="98"/>
      <c r="B21" s="574" t="s">
        <v>353</v>
      </c>
      <c r="C21" s="571"/>
      <c r="D21" s="571"/>
      <c r="E21" s="571"/>
      <c r="F21" s="571"/>
      <c r="G21" s="571"/>
      <c r="H21" s="571"/>
      <c r="I21" s="571"/>
      <c r="J21" s="571"/>
      <c r="K21" s="571"/>
      <c r="L21" s="571"/>
    </row>
    <row r="22" spans="1:12">
      <c r="A22" s="114"/>
      <c r="B22" s="574" t="s">
        <v>354</v>
      </c>
      <c r="C22" s="60"/>
      <c r="D22" s="60"/>
      <c r="E22" s="60"/>
      <c r="F22" s="61"/>
      <c r="G22" s="61"/>
    </row>
    <row r="23" spans="1:12" ht="12" customHeight="1">
      <c r="A23" s="98"/>
      <c r="B23" s="573" t="s">
        <v>355</v>
      </c>
      <c r="C23" s="82"/>
      <c r="D23" s="82"/>
      <c r="E23" s="82"/>
      <c r="F23" s="82"/>
      <c r="G23" s="82"/>
      <c r="H23" s="82"/>
      <c r="I23" s="82"/>
      <c r="J23" s="82"/>
      <c r="K23" s="82"/>
      <c r="L23" s="82"/>
    </row>
    <row r="24" spans="1:12">
      <c r="A24" s="98"/>
      <c r="B24" s="573"/>
      <c r="C24" s="82"/>
      <c r="D24" s="82"/>
      <c r="E24" s="82"/>
      <c r="F24" s="82"/>
      <c r="G24" s="82"/>
      <c r="H24" s="82"/>
      <c r="I24" s="82"/>
      <c r="J24" s="82"/>
      <c r="K24" s="82"/>
      <c r="L24" s="82"/>
    </row>
    <row r="25" spans="1:12" s="387" customFormat="1">
      <c r="A25" s="114"/>
      <c r="B25" s="574" t="s">
        <v>356</v>
      </c>
      <c r="C25" s="501"/>
      <c r="D25" s="501"/>
      <c r="E25" s="501"/>
      <c r="F25" s="501"/>
      <c r="G25" s="501"/>
      <c r="H25" s="501"/>
      <c r="I25" s="501"/>
      <c r="J25" s="502"/>
      <c r="K25" s="502"/>
      <c r="L25" s="502"/>
    </row>
    <row r="26" spans="1:12" s="387" customFormat="1">
      <c r="A26" s="114"/>
      <c r="B26" s="574" t="s">
        <v>357</v>
      </c>
      <c r="C26" s="501"/>
      <c r="D26" s="501"/>
      <c r="E26" s="501"/>
      <c r="F26" s="501"/>
      <c r="G26" s="501"/>
      <c r="H26" s="501"/>
      <c r="I26" s="501"/>
      <c r="J26" s="502"/>
      <c r="K26" s="502"/>
      <c r="L26" s="502"/>
    </row>
    <row r="27" spans="1:12" s="387" customFormat="1">
      <c r="A27" s="114"/>
      <c r="B27" s="574" t="s">
        <v>358</v>
      </c>
      <c r="C27" s="501"/>
      <c r="D27" s="501"/>
      <c r="E27" s="501"/>
      <c r="F27" s="501"/>
      <c r="G27" s="501"/>
      <c r="H27" s="501"/>
      <c r="I27" s="501"/>
      <c r="J27" s="502"/>
      <c r="K27" s="502"/>
      <c r="L27" s="502"/>
    </row>
    <row r="28" spans="1:12" s="387" customFormat="1">
      <c r="A28" s="114"/>
      <c r="B28" s="501"/>
      <c r="C28" s="501"/>
      <c r="D28" s="501"/>
      <c r="E28" s="501"/>
      <c r="F28" s="501"/>
      <c r="G28" s="501"/>
      <c r="H28" s="501"/>
      <c r="I28" s="501"/>
      <c r="J28" s="502"/>
      <c r="K28" s="502"/>
      <c r="L28" s="502"/>
    </row>
    <row r="29" spans="1:12" s="387" customFormat="1">
      <c r="A29" s="114"/>
      <c r="B29" s="574" t="s">
        <v>359</v>
      </c>
      <c r="C29" s="501"/>
      <c r="D29" s="501"/>
      <c r="E29" s="501"/>
      <c r="F29" s="501"/>
      <c r="G29" s="501"/>
      <c r="H29" s="501"/>
      <c r="I29" s="501"/>
      <c r="J29" s="502"/>
      <c r="K29" s="502"/>
      <c r="L29" s="502"/>
    </row>
    <row r="30" spans="1:12" s="387" customFormat="1">
      <c r="A30" s="114"/>
      <c r="B30" s="501"/>
      <c r="C30" s="501"/>
      <c r="D30" s="501"/>
      <c r="E30" s="501"/>
      <c r="F30" s="501"/>
      <c r="G30" s="501"/>
      <c r="H30" s="501"/>
      <c r="I30" s="501"/>
      <c r="J30" s="502"/>
      <c r="K30" s="502"/>
      <c r="L30" s="502"/>
    </row>
    <row r="31" spans="1:12" s="387" customFormat="1">
      <c r="A31" s="114"/>
      <c r="B31" s="574" t="s">
        <v>337</v>
      </c>
      <c r="C31" s="501"/>
      <c r="D31" s="501"/>
      <c r="E31" s="501"/>
      <c r="F31" s="501"/>
      <c r="G31" s="501"/>
      <c r="H31" s="501"/>
      <c r="I31" s="501"/>
      <c r="J31" s="502"/>
      <c r="K31" s="502"/>
      <c r="L31" s="502"/>
    </row>
    <row r="32" spans="1:12" s="387" customFormat="1">
      <c r="A32" s="114"/>
      <c r="B32" s="501"/>
      <c r="C32" s="501"/>
      <c r="D32" s="501"/>
      <c r="E32" s="501"/>
      <c r="F32" s="501"/>
      <c r="G32" s="501"/>
      <c r="H32" s="501"/>
      <c r="I32" s="501"/>
      <c r="J32" s="502"/>
      <c r="K32" s="502"/>
      <c r="L32" s="502"/>
    </row>
    <row r="33" spans="1:12">
      <c r="A33" s="422">
        <v>2</v>
      </c>
      <c r="B33" s="418" t="s">
        <v>77</v>
      </c>
      <c r="C33" s="418"/>
      <c r="D33" s="423"/>
      <c r="E33" s="423"/>
      <c r="F33" s="423"/>
      <c r="G33" s="423"/>
      <c r="H33" s="423"/>
      <c r="I33" s="423"/>
      <c r="J33" s="423"/>
      <c r="K33" s="423"/>
      <c r="L33" s="423"/>
    </row>
    <row r="34" spans="1:12" ht="8.25" customHeight="1">
      <c r="A34" s="417"/>
      <c r="B34" s="423"/>
      <c r="C34" s="423"/>
      <c r="D34" s="423"/>
      <c r="E34" s="423"/>
      <c r="F34" s="423"/>
      <c r="G34" s="423"/>
      <c r="H34" s="423"/>
      <c r="I34" s="423"/>
      <c r="J34" s="423"/>
      <c r="K34" s="423"/>
      <c r="L34" s="423"/>
    </row>
    <row r="35" spans="1:12" ht="17.25" customHeight="1">
      <c r="A35" s="436">
        <v>2.1</v>
      </c>
      <c r="B35" s="437" t="s">
        <v>116</v>
      </c>
      <c r="C35" s="438"/>
      <c r="D35" s="438"/>
      <c r="E35" s="438"/>
      <c r="F35" s="438"/>
      <c r="G35" s="438"/>
      <c r="H35" s="439"/>
      <c r="I35" s="439"/>
      <c r="J35" s="439"/>
      <c r="K35" s="439"/>
      <c r="L35" s="439"/>
    </row>
    <row r="36" spans="1:12" ht="4.5" customHeight="1">
      <c r="A36" s="436"/>
      <c r="B36" s="440"/>
      <c r="C36" s="438"/>
      <c r="D36" s="438"/>
      <c r="E36" s="438"/>
      <c r="F36" s="438"/>
      <c r="G36" s="438"/>
      <c r="H36" s="439"/>
      <c r="I36" s="439"/>
      <c r="J36" s="439"/>
      <c r="K36" s="439"/>
      <c r="L36" s="439"/>
    </row>
    <row r="37" spans="1:12" ht="12.75" customHeight="1">
      <c r="A37" s="441"/>
      <c r="B37" s="733" t="s">
        <v>243</v>
      </c>
      <c r="C37" s="733"/>
      <c r="D37" s="733"/>
      <c r="E37" s="733"/>
      <c r="F37" s="733"/>
      <c r="G37" s="733"/>
      <c r="H37" s="733"/>
      <c r="I37" s="733"/>
      <c r="J37" s="733"/>
      <c r="K37" s="733"/>
      <c r="L37" s="733"/>
    </row>
    <row r="38" spans="1:12" ht="15.75" customHeight="1">
      <c r="A38" s="439"/>
      <c r="B38" s="733"/>
      <c r="C38" s="733"/>
      <c r="D38" s="733"/>
      <c r="E38" s="733"/>
      <c r="F38" s="733"/>
      <c r="G38" s="733"/>
      <c r="H38" s="733"/>
      <c r="I38" s="733"/>
      <c r="J38" s="733"/>
      <c r="K38" s="733"/>
      <c r="L38" s="733"/>
    </row>
    <row r="39" spans="1:12" ht="9.75" customHeight="1">
      <c r="A39" s="442" t="s">
        <v>244</v>
      </c>
      <c r="B39" s="443"/>
      <c r="C39" s="444"/>
      <c r="D39" s="444"/>
      <c r="E39" s="444"/>
      <c r="F39" s="444"/>
      <c r="G39" s="444"/>
      <c r="H39" s="444"/>
      <c r="I39" s="444"/>
      <c r="J39" s="444"/>
      <c r="K39" s="444"/>
      <c r="L39" s="444"/>
    </row>
    <row r="40" spans="1:12">
      <c r="A40" s="441"/>
      <c r="B40" s="733" t="s">
        <v>245</v>
      </c>
      <c r="C40" s="733"/>
      <c r="D40" s="733"/>
      <c r="E40" s="733"/>
      <c r="F40" s="733"/>
      <c r="G40" s="733"/>
      <c r="H40" s="733"/>
      <c r="I40" s="733"/>
      <c r="J40" s="733"/>
      <c r="K40" s="733"/>
      <c r="L40" s="733"/>
    </row>
    <row r="41" spans="1:12">
      <c r="A41" s="442"/>
      <c r="B41" s="733"/>
      <c r="C41" s="733"/>
      <c r="D41" s="733"/>
      <c r="E41" s="733"/>
      <c r="F41" s="733"/>
      <c r="G41" s="733"/>
      <c r="H41" s="733"/>
      <c r="I41" s="733"/>
      <c r="J41" s="733"/>
      <c r="K41" s="733"/>
      <c r="L41" s="733"/>
    </row>
    <row r="42" spans="1:12" ht="15.75" customHeight="1">
      <c r="A42" s="442"/>
      <c r="B42" s="445"/>
      <c r="C42" s="445"/>
      <c r="D42" s="445"/>
      <c r="E42" s="503"/>
      <c r="F42" s="445"/>
      <c r="G42" s="503"/>
      <c r="H42" s="445"/>
      <c r="I42" s="503"/>
      <c r="J42" s="445"/>
      <c r="K42" s="503"/>
      <c r="L42" s="445"/>
    </row>
    <row r="43" spans="1:12" ht="18" customHeight="1">
      <c r="A43" s="441"/>
      <c r="B43" s="733" t="s">
        <v>338</v>
      </c>
      <c r="C43" s="733"/>
      <c r="D43" s="733"/>
      <c r="E43" s="733"/>
      <c r="F43" s="733"/>
      <c r="G43" s="733"/>
      <c r="H43" s="733"/>
      <c r="I43" s="733"/>
      <c r="J43" s="733"/>
      <c r="K43" s="733"/>
      <c r="L43" s="733"/>
    </row>
    <row r="44" spans="1:12" ht="9" customHeight="1">
      <c r="A44" s="442"/>
      <c r="B44" s="733"/>
      <c r="C44" s="733"/>
      <c r="D44" s="733"/>
      <c r="E44" s="733"/>
      <c r="F44" s="733"/>
      <c r="G44" s="733"/>
      <c r="H44" s="733"/>
      <c r="I44" s="733"/>
      <c r="J44" s="733"/>
      <c r="K44" s="733"/>
      <c r="L44" s="733"/>
    </row>
    <row r="45" spans="1:12" ht="3" customHeight="1"/>
    <row r="46" spans="1:12" s="387" customFormat="1" ht="9.75" customHeight="1">
      <c r="A46" s="386"/>
      <c r="B46" s="59"/>
      <c r="D46" s="385"/>
      <c r="E46" s="385"/>
    </row>
    <row r="47" spans="1:12" s="387" customFormat="1" ht="15.75" hidden="1" customHeight="1">
      <c r="A47" s="386">
        <v>3</v>
      </c>
      <c r="B47" s="382" t="s">
        <v>76</v>
      </c>
      <c r="D47" s="734" t="s">
        <v>328</v>
      </c>
      <c r="E47" s="735"/>
      <c r="F47" s="735"/>
      <c r="G47" s="735"/>
      <c r="H47" s="735"/>
      <c r="I47" s="735"/>
      <c r="J47" s="736"/>
      <c r="K47" s="582"/>
      <c r="L47" s="578" t="s">
        <v>142</v>
      </c>
    </row>
    <row r="48" spans="1:12" ht="33" hidden="1" customHeight="1">
      <c r="A48" s="386"/>
      <c r="C48" s="387"/>
      <c r="D48" s="494" t="s">
        <v>323</v>
      </c>
      <c r="E48" s="494"/>
      <c r="F48" s="494" t="s">
        <v>324</v>
      </c>
      <c r="G48" s="494"/>
      <c r="H48" s="507" t="s">
        <v>325</v>
      </c>
      <c r="I48" s="507"/>
      <c r="J48" s="507" t="s">
        <v>215</v>
      </c>
      <c r="K48" s="507"/>
      <c r="L48" s="579" t="s">
        <v>329</v>
      </c>
    </row>
    <row r="49" spans="1:12" s="387" customFormat="1" hidden="1">
      <c r="A49" s="386"/>
      <c r="B49" s="59"/>
      <c r="D49" s="731" t="s">
        <v>339</v>
      </c>
      <c r="E49" s="731"/>
      <c r="F49" s="732"/>
      <c r="G49" s="732"/>
      <c r="H49" s="732"/>
      <c r="I49" s="732"/>
      <c r="J49" s="732"/>
      <c r="K49" s="732"/>
      <c r="L49" s="732"/>
    </row>
    <row r="50" spans="1:12" s="387" customFormat="1" hidden="1">
      <c r="A50" s="386"/>
      <c r="B50" s="59"/>
      <c r="D50" s="586"/>
      <c r="E50" s="586"/>
      <c r="F50" s="587"/>
      <c r="G50" s="587"/>
      <c r="H50" s="587"/>
      <c r="I50" s="587"/>
      <c r="J50" s="587"/>
      <c r="K50" s="587"/>
      <c r="L50" s="587"/>
    </row>
    <row r="51" spans="1:12" s="387" customFormat="1" hidden="1">
      <c r="A51" s="386"/>
      <c r="B51" s="59"/>
      <c r="D51" s="586"/>
      <c r="E51" s="586"/>
      <c r="F51" s="587"/>
      <c r="G51" s="587"/>
      <c r="H51" s="587"/>
      <c r="I51" s="587"/>
      <c r="J51" s="587"/>
      <c r="K51" s="587"/>
      <c r="L51" s="587"/>
    </row>
    <row r="52" spans="1:12" ht="15" hidden="1">
      <c r="A52" s="394"/>
      <c r="B52" s="381" t="s">
        <v>360</v>
      </c>
      <c r="C52" s="393"/>
      <c r="D52" s="583">
        <v>11773.681</v>
      </c>
      <c r="E52" s="380"/>
      <c r="F52" s="583">
        <v>78314.826000000001</v>
      </c>
      <c r="G52" s="380"/>
      <c r="H52" s="583">
        <v>82018.273000000001</v>
      </c>
      <c r="I52" s="380"/>
      <c r="J52" s="584">
        <v>172106.78</v>
      </c>
      <c r="K52" s="379"/>
      <c r="L52" s="380">
        <v>342428</v>
      </c>
    </row>
    <row r="53" spans="1:12" ht="15.75" hidden="1" thickBot="1">
      <c r="A53" s="394"/>
      <c r="B53" s="393"/>
      <c r="C53" s="393"/>
      <c r="D53" s="585">
        <v>11773.681</v>
      </c>
      <c r="E53" s="393"/>
      <c r="F53" s="585">
        <v>78314.826000000001</v>
      </c>
      <c r="G53" s="393"/>
      <c r="H53" s="585">
        <v>82018.273000000001</v>
      </c>
      <c r="I53" s="580"/>
      <c r="J53" s="585">
        <v>172106.78</v>
      </c>
      <c r="K53" s="377"/>
      <c r="L53" s="378">
        <v>342428</v>
      </c>
    </row>
    <row r="54" spans="1:12" ht="1.5" hidden="1" customHeight="1" thickTop="1">
      <c r="A54" s="394"/>
      <c r="B54" s="393"/>
      <c r="C54" s="393"/>
      <c r="D54" s="393"/>
      <c r="E54" s="393"/>
      <c r="F54" s="393"/>
      <c r="G54" s="393"/>
      <c r="H54" s="393"/>
      <c r="I54" s="393"/>
      <c r="J54" s="393"/>
      <c r="K54" s="393"/>
      <c r="L54" s="393"/>
    </row>
    <row r="55" spans="1:12" s="387" customFormat="1" ht="12" hidden="1" customHeight="1">
      <c r="A55" s="394"/>
      <c r="B55" s="393"/>
      <c r="C55" s="393"/>
      <c r="D55" s="393"/>
      <c r="E55" s="393"/>
      <c r="F55" s="393"/>
      <c r="G55" s="393"/>
      <c r="H55" s="393"/>
      <c r="I55" s="393"/>
      <c r="J55" s="393"/>
      <c r="K55" s="393"/>
      <c r="L55" s="393"/>
    </row>
    <row r="56" spans="1:12" hidden="1">
      <c r="A56" s="590">
        <v>3.1</v>
      </c>
      <c r="B56" s="391" t="s">
        <v>340</v>
      </c>
      <c r="C56" s="393"/>
      <c r="D56" s="393"/>
      <c r="E56" s="393"/>
      <c r="F56" s="393"/>
      <c r="G56" s="393"/>
      <c r="H56" s="393"/>
      <c r="I56" s="393"/>
      <c r="J56" s="393"/>
      <c r="K56" s="393"/>
      <c r="L56" s="393"/>
    </row>
    <row r="57" spans="1:12">
      <c r="A57" s="394"/>
      <c r="B57" s="391"/>
      <c r="C57" s="393"/>
      <c r="D57" s="393"/>
      <c r="E57" s="393"/>
      <c r="F57" s="393"/>
      <c r="G57" s="393"/>
      <c r="H57" s="393"/>
      <c r="I57" s="393"/>
      <c r="J57" s="393"/>
      <c r="K57" s="393"/>
      <c r="L57" s="393"/>
    </row>
    <row r="58" spans="1:12" ht="15" customHeight="1">
      <c r="A58" s="385">
        <v>3</v>
      </c>
      <c r="B58" s="1" t="s">
        <v>90</v>
      </c>
      <c r="C58" s="435"/>
      <c r="D58" s="734" t="s">
        <v>328</v>
      </c>
      <c r="E58" s="735"/>
      <c r="F58" s="735"/>
      <c r="G58" s="735"/>
      <c r="H58" s="735"/>
      <c r="I58" s="735"/>
      <c r="J58" s="736"/>
      <c r="K58" s="582"/>
      <c r="L58" s="578" t="s">
        <v>142</v>
      </c>
    </row>
    <row r="59" spans="1:12" ht="24">
      <c r="A59" s="114"/>
      <c r="B59" s="1"/>
      <c r="C59" s="40"/>
      <c r="D59" s="494" t="s">
        <v>323</v>
      </c>
      <c r="E59" s="494"/>
      <c r="F59" s="494" t="s">
        <v>324</v>
      </c>
      <c r="G59" s="494"/>
      <c r="H59" s="507" t="s">
        <v>325</v>
      </c>
      <c r="I59" s="507"/>
      <c r="J59" s="507" t="s">
        <v>215</v>
      </c>
      <c r="K59" s="507"/>
      <c r="L59" s="579" t="s">
        <v>329</v>
      </c>
    </row>
    <row r="60" spans="1:12">
      <c r="A60" s="389"/>
      <c r="B60" s="384"/>
      <c r="C60" s="434"/>
      <c r="D60" s="731" t="s">
        <v>339</v>
      </c>
      <c r="E60" s="731"/>
      <c r="F60" s="732"/>
      <c r="G60" s="732"/>
      <c r="H60" s="732"/>
      <c r="I60" s="732"/>
      <c r="J60" s="732"/>
      <c r="K60" s="732"/>
      <c r="L60" s="732"/>
    </row>
    <row r="61" spans="1:12" s="387" customFormat="1">
      <c r="A61" s="389"/>
      <c r="B61" s="384"/>
      <c r="C61" s="504"/>
      <c r="D61" s="586"/>
      <c r="E61" s="586"/>
      <c r="F61" s="587"/>
      <c r="G61" s="587"/>
      <c r="H61" s="587"/>
      <c r="I61" s="587"/>
      <c r="J61" s="587"/>
      <c r="K61" s="587"/>
      <c r="L61" s="587"/>
    </row>
    <row r="62" spans="1:12" ht="15" customHeight="1">
      <c r="A62" s="70"/>
      <c r="B62" s="99" t="s">
        <v>341</v>
      </c>
      <c r="C62" s="40"/>
      <c r="D62" s="72"/>
      <c r="E62" s="72"/>
      <c r="F62" s="63"/>
      <c r="G62" s="63"/>
      <c r="H62" s="40"/>
      <c r="I62" s="40"/>
      <c r="J62" s="1"/>
      <c r="K62" s="1"/>
      <c r="L62" s="68"/>
    </row>
    <row r="63" spans="1:12" s="387" customFormat="1" ht="4.5" customHeight="1">
      <c r="A63" s="70"/>
      <c r="B63" s="99"/>
      <c r="C63" s="40"/>
      <c r="D63" s="72"/>
      <c r="E63" s="72"/>
      <c r="F63" s="63"/>
      <c r="G63" s="63"/>
      <c r="H63" s="40"/>
      <c r="I63" s="40"/>
      <c r="J63" s="1"/>
      <c r="K63" s="1"/>
      <c r="L63" s="68"/>
    </row>
    <row r="64" spans="1:12">
      <c r="A64" s="70"/>
      <c r="B64" s="67" t="s">
        <v>420</v>
      </c>
      <c r="C64" s="40"/>
      <c r="D64" s="588">
        <v>85768.523000000001</v>
      </c>
      <c r="E64" s="41"/>
      <c r="F64" s="588">
        <v>0</v>
      </c>
      <c r="G64" s="63"/>
      <c r="H64" s="588">
        <v>0</v>
      </c>
      <c r="I64" s="86"/>
      <c r="J64" s="69">
        <v>85768.523000000001</v>
      </c>
      <c r="K64" s="117"/>
      <c r="L64" s="86">
        <v>26193</v>
      </c>
    </row>
    <row r="65" spans="1:12">
      <c r="A65" s="70"/>
      <c r="B65" s="100"/>
      <c r="C65" s="40"/>
      <c r="D65" s="41"/>
      <c r="E65" s="41"/>
      <c r="F65" s="63"/>
      <c r="G65" s="63"/>
      <c r="H65" s="86"/>
      <c r="I65" s="86"/>
      <c r="J65" s="117"/>
      <c r="K65" s="117"/>
      <c r="L65" s="86"/>
    </row>
    <row r="66" spans="1:12" ht="12.75" thickBot="1">
      <c r="A66" s="70"/>
      <c r="B66" s="67"/>
      <c r="C66" s="40"/>
      <c r="D66" s="589">
        <v>85768.523000000001</v>
      </c>
      <c r="E66" s="41"/>
      <c r="F66" s="589">
        <v>0</v>
      </c>
      <c r="G66" s="63"/>
      <c r="H66" s="589">
        <v>0</v>
      </c>
      <c r="I66" s="86"/>
      <c r="J66" s="589">
        <v>85768.523000000001</v>
      </c>
      <c r="K66" s="117"/>
      <c r="L66" s="589">
        <v>26193</v>
      </c>
    </row>
    <row r="67" spans="1:12" ht="12.75" thickTop="1">
      <c r="A67" s="70"/>
      <c r="B67" s="67"/>
      <c r="C67" s="40"/>
      <c r="D67" s="41"/>
      <c r="E67" s="41"/>
      <c r="F67" s="63"/>
      <c r="G67" s="63"/>
      <c r="H67" s="86"/>
      <c r="I67" s="86"/>
      <c r="J67" s="117"/>
      <c r="K67" s="117"/>
      <c r="L67" s="86"/>
    </row>
    <row r="68" spans="1:12">
      <c r="A68" s="70"/>
      <c r="B68" s="63"/>
      <c r="C68" s="63"/>
      <c r="D68" s="63"/>
      <c r="E68" s="63"/>
      <c r="F68" s="63"/>
      <c r="G68" s="63"/>
      <c r="H68" s="86"/>
      <c r="I68" s="86"/>
      <c r="J68" s="74"/>
      <c r="K68" s="74"/>
      <c r="L68" s="86"/>
    </row>
    <row r="69" spans="1:12">
      <c r="A69" s="70"/>
      <c r="B69" s="109"/>
      <c r="C69" s="40"/>
      <c r="D69" s="41"/>
      <c r="E69" s="41"/>
      <c r="F69" s="63"/>
      <c r="G69" s="63"/>
      <c r="H69" s="86"/>
      <c r="I69" s="86"/>
      <c r="J69" s="117"/>
      <c r="K69" s="117"/>
      <c r="L69" s="86"/>
    </row>
    <row r="70" spans="1:12">
      <c r="A70" s="70"/>
      <c r="B70" s="75"/>
      <c r="C70" s="40"/>
      <c r="D70" s="41"/>
      <c r="E70" s="41"/>
      <c r="F70" s="63"/>
      <c r="G70" s="63"/>
      <c r="H70" s="86"/>
      <c r="I70" s="86"/>
      <c r="J70" s="117"/>
      <c r="K70" s="117"/>
      <c r="L70" s="86"/>
    </row>
    <row r="71" spans="1:12">
      <c r="A71" s="70"/>
      <c r="B71" s="110"/>
      <c r="C71" s="40"/>
      <c r="D71" s="41"/>
      <c r="E71" s="41"/>
      <c r="F71" s="63"/>
      <c r="G71" s="63"/>
      <c r="H71" s="86"/>
      <c r="I71" s="86"/>
      <c r="J71" s="117"/>
      <c r="K71" s="117"/>
      <c r="L71" s="86"/>
    </row>
    <row r="72" spans="1:12">
      <c r="A72" s="70"/>
      <c r="B72" s="67"/>
      <c r="C72" s="40"/>
      <c r="D72" s="41"/>
      <c r="E72" s="41"/>
      <c r="F72" s="63"/>
      <c r="G72" s="63"/>
      <c r="H72" s="86"/>
      <c r="I72" s="86"/>
      <c r="J72" s="117"/>
      <c r="K72" s="117"/>
      <c r="L72" s="86"/>
    </row>
    <row r="73" spans="1:12">
      <c r="A73" s="70"/>
      <c r="B73" s="75"/>
      <c r="C73" s="40"/>
      <c r="D73" s="41"/>
      <c r="E73" s="41"/>
      <c r="F73" s="63"/>
      <c r="G73" s="63"/>
      <c r="H73" s="86"/>
      <c r="I73" s="86"/>
      <c r="J73" s="117"/>
      <c r="K73" s="117"/>
      <c r="L73" s="86"/>
    </row>
    <row r="74" spans="1:12">
      <c r="A74" s="70"/>
      <c r="B74" s="67"/>
      <c r="C74" s="40"/>
      <c r="D74" s="41"/>
      <c r="E74" s="41"/>
      <c r="F74" s="116"/>
      <c r="G74" s="116"/>
      <c r="H74" s="581"/>
      <c r="I74" s="581"/>
      <c r="J74" s="117"/>
      <c r="K74" s="117"/>
      <c r="L74" s="581"/>
    </row>
    <row r="75" spans="1:12">
      <c r="A75" s="70"/>
      <c r="B75" s="67"/>
      <c r="C75" s="40"/>
      <c r="D75" s="40"/>
      <c r="E75" s="40"/>
      <c r="F75" s="41"/>
      <c r="G75" s="41"/>
      <c r="H75" s="69"/>
      <c r="I75" s="69"/>
      <c r="J75" s="69"/>
      <c r="K75" s="69"/>
      <c r="L75" s="69"/>
    </row>
    <row r="76" spans="1:12">
      <c r="A76" s="70"/>
      <c r="B76" s="67"/>
      <c r="C76" s="40"/>
      <c r="D76" s="40"/>
      <c r="E76" s="40"/>
      <c r="F76" s="63"/>
      <c r="G76" s="63"/>
      <c r="H76" s="86"/>
      <c r="I76" s="86"/>
      <c r="J76" s="117"/>
      <c r="K76" s="117"/>
      <c r="L76" s="86"/>
    </row>
  </sheetData>
  <customSheetViews>
    <customSheetView guid="{84FBBE83-FF6F-4C76-A58E-D04643F715A5}" showPageBreaks="1" printArea="1" view="pageBreakPreview" topLeftCell="A10">
      <selection activeCell="K26" sqref="K26"/>
      <pageMargins left="0.75" right="0.5" top="0.5" bottom="0.25" header="0.17" footer="0.42"/>
      <printOptions horizontalCentered="1"/>
      <pageSetup paperSize="9" fitToWidth="12" fitToHeight="12" orientation="portrait" r:id="rId1"/>
      <headerFooter alignWithMargins="0">
        <oddFooter>&amp;C7 of 11</oddFooter>
      </headerFooter>
    </customSheetView>
  </customSheetViews>
  <mergeCells count="7">
    <mergeCell ref="D60:L60"/>
    <mergeCell ref="B37:L38"/>
    <mergeCell ref="B40:L41"/>
    <mergeCell ref="B43:L44"/>
    <mergeCell ref="D49:L49"/>
    <mergeCell ref="D47:J47"/>
    <mergeCell ref="D58:J58"/>
  </mergeCells>
  <phoneticPr fontId="24" type="noConversion"/>
  <printOptions horizontalCentered="1"/>
  <pageMargins left="0.75" right="0.5" top="0.5" bottom="0.25" header="0.17" footer="0.42"/>
  <pageSetup paperSize="9" scale="87" fitToWidth="12" fitToHeight="12" orientation="portrait" r:id="rId2"/>
  <headerFooter alignWithMargins="0">
    <oddFooter>&amp;C6 of 9</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B3" zoomScale="60" workbookViewId="0">
      <selection activeCell="B43" sqref="A43:XFD51"/>
    </sheetView>
  </sheetViews>
  <sheetFormatPr defaultRowHeight="15.75" outlineLevelRow="2"/>
  <cols>
    <col min="1" max="1" width="6.25" style="383" hidden="1" customWidth="1"/>
    <col min="2" max="2" width="40.5" style="383" customWidth="1"/>
    <col min="3" max="3" width="7.625" style="383" hidden="1" customWidth="1"/>
    <col min="4" max="4" width="1.625" style="383" hidden="1" customWidth="1"/>
    <col min="5" max="5" width="11.75" style="383" customWidth="1"/>
    <col min="6" max="6" width="11" style="383" customWidth="1"/>
    <col min="7" max="7" width="10.875" style="383" customWidth="1"/>
    <col min="8" max="8" width="12.625" style="383" customWidth="1"/>
    <col min="9" max="9" width="10" style="383" hidden="1" customWidth="1"/>
    <col min="10" max="10" width="11.125" style="383" bestFit="1" customWidth="1"/>
    <col min="11" max="11" width="11.75" style="383" customWidth="1"/>
    <col min="12" max="12" width="13" style="362" customWidth="1"/>
    <col min="13" max="13" width="11.625" style="362" customWidth="1"/>
    <col min="14" max="14" width="10.5" style="375" customWidth="1"/>
    <col min="15" max="15" width="12.375" style="375" customWidth="1"/>
    <col min="16" max="16" width="13" style="383" customWidth="1"/>
    <col min="17" max="16384" width="9" style="383"/>
  </cols>
  <sheetData>
    <row r="1" spans="1:16" ht="18.75" hidden="1">
      <c r="B1" s="644" t="s">
        <v>425</v>
      </c>
      <c r="C1" s="644"/>
      <c r="D1" s="644"/>
      <c r="E1" s="645"/>
      <c r="F1" s="645"/>
      <c r="G1" s="645"/>
      <c r="H1" s="645"/>
      <c r="I1" s="645"/>
      <c r="J1" s="645"/>
      <c r="K1" s="645"/>
      <c r="L1" s="645"/>
      <c r="M1" s="645"/>
      <c r="N1" s="646"/>
      <c r="O1" s="646"/>
    </row>
    <row r="2" spans="1:16" ht="18.75" hidden="1">
      <c r="B2" s="644" t="s">
        <v>426</v>
      </c>
      <c r="C2" s="644"/>
      <c r="D2" s="644"/>
      <c r="E2" s="647"/>
      <c r="F2" s="647"/>
      <c r="G2" s="647"/>
      <c r="H2" s="647"/>
      <c r="I2" s="647"/>
      <c r="J2" s="647"/>
      <c r="K2" s="647"/>
      <c r="L2" s="647"/>
      <c r="M2" s="647"/>
      <c r="N2" s="648"/>
      <c r="O2" s="648"/>
      <c r="P2" s="649"/>
    </row>
    <row r="3" spans="1:16">
      <c r="A3" s="491"/>
      <c r="B3" s="650" t="s">
        <v>455</v>
      </c>
      <c r="C3" s="650"/>
      <c r="D3" s="650"/>
      <c r="E3" s="651"/>
      <c r="F3" s="651"/>
      <c r="G3" s="651"/>
      <c r="H3" s="651"/>
      <c r="I3" s="651"/>
      <c r="J3" s="651"/>
      <c r="K3" s="651"/>
      <c r="L3" s="651"/>
      <c r="M3" s="651"/>
      <c r="N3" s="652"/>
      <c r="O3" s="653"/>
    </row>
    <row r="4" spans="1:16">
      <c r="B4" s="654"/>
      <c r="C4" s="654"/>
      <c r="D4" s="654"/>
      <c r="E4" s="647"/>
      <c r="F4" s="647"/>
      <c r="G4" s="647"/>
      <c r="H4" s="647"/>
      <c r="I4" s="647"/>
      <c r="J4" s="647"/>
      <c r="K4" s="647"/>
      <c r="L4" s="647"/>
      <c r="M4" s="647"/>
      <c r="N4" s="648"/>
      <c r="O4" s="648"/>
      <c r="P4" s="649"/>
    </row>
    <row r="5" spans="1:16">
      <c r="B5" s="654"/>
      <c r="C5" s="654"/>
      <c r="D5" s="654"/>
      <c r="E5" s="647"/>
      <c r="F5" s="647"/>
      <c r="G5" s="647"/>
      <c r="H5" s="647"/>
      <c r="I5" s="647"/>
      <c r="J5" s="647"/>
      <c r="K5" s="647"/>
      <c r="L5" s="647"/>
      <c r="M5" s="647"/>
      <c r="N5" s="648"/>
      <c r="O5" s="648"/>
      <c r="P5" s="649"/>
    </row>
    <row r="6" spans="1:16" ht="79.5" customHeight="1">
      <c r="A6" s="655" t="s">
        <v>427</v>
      </c>
      <c r="B6" s="655" t="s">
        <v>428</v>
      </c>
      <c r="C6" s="656" t="s">
        <v>429</v>
      </c>
      <c r="D6" s="656" t="s">
        <v>430</v>
      </c>
      <c r="E6" s="657" t="s">
        <v>431</v>
      </c>
      <c r="F6" s="658" t="s">
        <v>432</v>
      </c>
      <c r="G6" s="658" t="s">
        <v>433</v>
      </c>
      <c r="H6" s="658" t="s">
        <v>434</v>
      </c>
      <c r="I6" s="659"/>
      <c r="J6" s="658" t="s">
        <v>435</v>
      </c>
      <c r="K6" s="658" t="s">
        <v>436</v>
      </c>
      <c r="L6" s="658" t="s">
        <v>437</v>
      </c>
      <c r="M6" s="658" t="s">
        <v>438</v>
      </c>
      <c r="N6" s="660" t="s">
        <v>479</v>
      </c>
      <c r="O6" s="660" t="s">
        <v>439</v>
      </c>
      <c r="P6" s="661" t="s">
        <v>440</v>
      </c>
    </row>
    <row r="7" spans="1:16">
      <c r="A7" s="662"/>
      <c r="B7" s="662"/>
      <c r="C7" s="662"/>
      <c r="D7" s="662"/>
      <c r="E7" s="663" t="s">
        <v>441</v>
      </c>
      <c r="F7" s="664"/>
      <c r="G7" s="664"/>
      <c r="H7" s="664"/>
      <c r="I7" s="664"/>
      <c r="J7" s="664"/>
      <c r="K7" s="664"/>
      <c r="L7" s="665" t="s">
        <v>442</v>
      </c>
      <c r="M7" s="664"/>
      <c r="N7" s="665" t="s">
        <v>443</v>
      </c>
      <c r="O7" s="666"/>
      <c r="P7" s="666"/>
    </row>
    <row r="8" spans="1:16">
      <c r="A8" s="667">
        <v>1</v>
      </c>
      <c r="B8" s="383" t="s">
        <v>463</v>
      </c>
      <c r="C8" s="668" t="s">
        <v>310</v>
      </c>
      <c r="D8" s="668" t="s">
        <v>308</v>
      </c>
      <c r="E8" s="669">
        <v>0</v>
      </c>
      <c r="F8" s="362">
        <v>5000</v>
      </c>
      <c r="G8" s="362">
        <v>0</v>
      </c>
      <c r="H8" s="362">
        <v>0</v>
      </c>
      <c r="I8" s="362">
        <v>0</v>
      </c>
      <c r="J8" s="362">
        <v>0</v>
      </c>
      <c r="K8" s="362">
        <v>5000</v>
      </c>
      <c r="L8" s="362">
        <v>6305.8299500000003</v>
      </c>
      <c r="M8" s="362">
        <v>5007</v>
      </c>
      <c r="N8" s="375">
        <v>5.09611809</v>
      </c>
      <c r="O8" s="375">
        <v>5.8378060212136331</v>
      </c>
      <c r="P8" s="375">
        <v>0.63702289999999995</v>
      </c>
    </row>
    <row r="9" spans="1:16">
      <c r="A9" s="667">
        <v>2</v>
      </c>
      <c r="B9" s="383" t="s">
        <v>464</v>
      </c>
      <c r="C9" s="668" t="s">
        <v>311</v>
      </c>
      <c r="D9" s="668" t="s">
        <v>308</v>
      </c>
      <c r="E9" s="669">
        <v>0</v>
      </c>
      <c r="F9" s="362">
        <v>5400</v>
      </c>
      <c r="G9" s="362">
        <v>0</v>
      </c>
      <c r="H9" s="362">
        <v>0</v>
      </c>
      <c r="I9" s="362">
        <v>0</v>
      </c>
      <c r="J9" s="362">
        <v>0</v>
      </c>
      <c r="K9" s="362">
        <v>5400</v>
      </c>
      <c r="L9" s="362">
        <v>2375.0151700000001</v>
      </c>
      <c r="M9" s="362">
        <v>2238.6779999999999</v>
      </c>
      <c r="N9" s="375">
        <v>2.27852356</v>
      </c>
      <c r="O9" s="375">
        <v>2.6101393864506677</v>
      </c>
      <c r="P9" s="375">
        <v>0.27201482999999999</v>
      </c>
    </row>
    <row r="10" spans="1:16">
      <c r="A10" s="667">
        <v>3</v>
      </c>
      <c r="B10" s="383" t="s">
        <v>465</v>
      </c>
      <c r="C10" s="668" t="s">
        <v>309</v>
      </c>
      <c r="D10" s="668" t="s">
        <v>308</v>
      </c>
      <c r="E10" s="669">
        <v>0</v>
      </c>
      <c r="F10" s="362">
        <v>12500</v>
      </c>
      <c r="G10" s="362">
        <v>0</v>
      </c>
      <c r="H10" s="362">
        <v>0</v>
      </c>
      <c r="I10" s="362">
        <v>0</v>
      </c>
      <c r="J10" s="362">
        <v>0</v>
      </c>
      <c r="K10" s="362">
        <v>12500</v>
      </c>
      <c r="L10" s="362">
        <v>3033.2497247000001</v>
      </c>
      <c r="M10" s="362">
        <v>2879.25</v>
      </c>
      <c r="N10" s="375">
        <v>2.93049691</v>
      </c>
      <c r="O10" s="375">
        <v>3.3570007962011887</v>
      </c>
      <c r="P10" s="375">
        <v>0.20162815000000001</v>
      </c>
    </row>
    <row r="11" spans="1:16" ht="16.5" thickBot="1">
      <c r="A11" s="667"/>
      <c r="C11" s="668"/>
      <c r="D11" s="670" t="s">
        <v>444</v>
      </c>
      <c r="E11" s="671">
        <v>0</v>
      </c>
      <c r="F11" s="672">
        <v>22900</v>
      </c>
      <c r="G11" s="672">
        <v>0</v>
      </c>
      <c r="H11" s="672">
        <v>0</v>
      </c>
      <c r="I11" s="672"/>
      <c r="J11" s="672">
        <v>0</v>
      </c>
      <c r="K11" s="672">
        <v>22900</v>
      </c>
      <c r="L11" s="672">
        <v>11714.094844700001</v>
      </c>
      <c r="M11" s="672">
        <v>10124.928</v>
      </c>
      <c r="N11" s="673">
        <v>10.30513856</v>
      </c>
      <c r="O11" s="673">
        <v>11.804946203865491</v>
      </c>
      <c r="P11" s="673">
        <v>1.11066588</v>
      </c>
    </row>
    <row r="12" spans="1:16" ht="16.5" thickTop="1">
      <c r="A12" s="667"/>
      <c r="C12" s="668"/>
      <c r="D12" s="670"/>
      <c r="E12" s="669"/>
      <c r="F12" s="485"/>
      <c r="G12" s="485"/>
      <c r="H12" s="485"/>
      <c r="I12" s="485"/>
      <c r="J12" s="485"/>
      <c r="K12" s="485"/>
      <c r="L12" s="485"/>
      <c r="M12" s="485"/>
      <c r="N12" s="488"/>
      <c r="O12" s="488"/>
      <c r="P12" s="488"/>
    </row>
    <row r="13" spans="1:16">
      <c r="A13" s="667">
        <v>4</v>
      </c>
      <c r="B13" s="383" t="s">
        <v>466</v>
      </c>
      <c r="C13" s="668" t="s">
        <v>298</v>
      </c>
      <c r="D13" s="674" t="s">
        <v>296</v>
      </c>
      <c r="E13" s="669">
        <v>5000</v>
      </c>
      <c r="F13" s="362">
        <v>10000</v>
      </c>
      <c r="G13" s="362">
        <v>0</v>
      </c>
      <c r="H13" s="362">
        <v>0</v>
      </c>
      <c r="I13" s="362">
        <v>0</v>
      </c>
      <c r="J13" s="362">
        <v>0</v>
      </c>
      <c r="K13" s="362">
        <v>15000</v>
      </c>
      <c r="L13" s="362">
        <v>8197.7268332999993</v>
      </c>
      <c r="M13" s="362">
        <v>7900.5</v>
      </c>
      <c r="N13" s="375">
        <v>8.0411186200000007</v>
      </c>
      <c r="O13" s="375">
        <v>9.2114213042936512</v>
      </c>
      <c r="P13" s="375">
        <v>0.24431388000000001</v>
      </c>
    </row>
    <row r="14" spans="1:16">
      <c r="A14" s="667">
        <v>5</v>
      </c>
      <c r="B14" s="383" t="s">
        <v>467</v>
      </c>
      <c r="C14" s="668" t="s">
        <v>297</v>
      </c>
      <c r="D14" s="674" t="s">
        <v>296</v>
      </c>
      <c r="E14" s="669">
        <v>0</v>
      </c>
      <c r="F14" s="362">
        <v>100000</v>
      </c>
      <c r="G14" s="362">
        <v>0</v>
      </c>
      <c r="H14" s="362">
        <v>0</v>
      </c>
      <c r="I14" s="362">
        <v>0</v>
      </c>
      <c r="J14" s="362">
        <v>0</v>
      </c>
      <c r="K14" s="362">
        <v>100000</v>
      </c>
      <c r="L14" s="362">
        <v>3730.9722620000002</v>
      </c>
      <c r="M14" s="362">
        <v>3348</v>
      </c>
      <c r="N14" s="375">
        <v>3.40759005</v>
      </c>
      <c r="O14" s="375">
        <v>3.9035299698468631</v>
      </c>
      <c r="P14" s="375">
        <v>2.515183E-2</v>
      </c>
    </row>
    <row r="15" spans="1:16" ht="16.5" thickBot="1">
      <c r="A15" s="667"/>
      <c r="C15" s="668"/>
      <c r="D15" s="675" t="s">
        <v>445</v>
      </c>
      <c r="E15" s="671">
        <v>5000</v>
      </c>
      <c r="F15" s="672">
        <v>110000</v>
      </c>
      <c r="G15" s="672">
        <v>0</v>
      </c>
      <c r="H15" s="672">
        <v>0</v>
      </c>
      <c r="I15" s="672"/>
      <c r="J15" s="672">
        <v>0</v>
      </c>
      <c r="K15" s="672">
        <v>115000</v>
      </c>
      <c r="L15" s="672">
        <v>11928.699095299999</v>
      </c>
      <c r="M15" s="672">
        <v>11248.5</v>
      </c>
      <c r="N15" s="673">
        <v>11.44870867</v>
      </c>
      <c r="O15" s="673">
        <v>13.114951274140514</v>
      </c>
      <c r="P15" s="673">
        <v>0.26946571000000002</v>
      </c>
    </row>
    <row r="16" spans="1:16" ht="16.5" thickTop="1">
      <c r="A16" s="667"/>
      <c r="C16" s="668"/>
      <c r="D16" s="675"/>
      <c r="E16" s="669"/>
      <c r="F16" s="485"/>
      <c r="G16" s="485"/>
      <c r="H16" s="485"/>
      <c r="I16" s="485"/>
      <c r="J16" s="485"/>
      <c r="K16" s="485"/>
      <c r="L16" s="485"/>
      <c r="M16" s="485"/>
      <c r="N16" s="488"/>
      <c r="O16" s="488"/>
      <c r="P16" s="488"/>
    </row>
    <row r="17" spans="1:16" outlineLevel="2">
      <c r="A17" s="667">
        <v>6</v>
      </c>
      <c r="B17" s="383" t="s">
        <v>313</v>
      </c>
      <c r="C17" s="668" t="s">
        <v>446</v>
      </c>
      <c r="D17" s="674" t="s">
        <v>447</v>
      </c>
      <c r="E17" s="669">
        <v>0</v>
      </c>
      <c r="F17" s="362">
        <v>20000</v>
      </c>
      <c r="G17" s="362">
        <v>0</v>
      </c>
      <c r="H17" s="362">
        <v>0</v>
      </c>
      <c r="I17" s="362">
        <v>0</v>
      </c>
      <c r="J17" s="362">
        <v>0</v>
      </c>
      <c r="K17" s="362">
        <v>20000</v>
      </c>
      <c r="L17" s="362">
        <v>980.25278749999995</v>
      </c>
      <c r="M17" s="362">
        <v>1009.6</v>
      </c>
      <c r="N17" s="375">
        <v>1.02756957</v>
      </c>
      <c r="O17" s="375">
        <v>1.1771218212537016</v>
      </c>
      <c r="P17" s="375">
        <v>1.2572959999999999E-2</v>
      </c>
    </row>
    <row r="18" spans="1:16" ht="16.5" outlineLevel="1" thickBot="1">
      <c r="A18" s="667"/>
      <c r="C18" s="668"/>
      <c r="D18" s="676" t="s">
        <v>448</v>
      </c>
      <c r="E18" s="671">
        <v>0</v>
      </c>
      <c r="F18" s="672">
        <v>20000</v>
      </c>
      <c r="G18" s="672">
        <v>0</v>
      </c>
      <c r="H18" s="672">
        <v>0</v>
      </c>
      <c r="I18" s="672"/>
      <c r="J18" s="672">
        <v>0</v>
      </c>
      <c r="K18" s="672">
        <v>20000</v>
      </c>
      <c r="L18" s="672">
        <v>980.25278749999995</v>
      </c>
      <c r="M18" s="672">
        <v>1009.6</v>
      </c>
      <c r="N18" s="673">
        <v>1.02756957</v>
      </c>
      <c r="O18" s="673">
        <v>1.1771218212537016</v>
      </c>
      <c r="P18" s="673">
        <v>1.2572959999999999E-2</v>
      </c>
    </row>
    <row r="19" spans="1:16" ht="16.5" outlineLevel="1" thickTop="1">
      <c r="A19" s="667"/>
      <c r="C19" s="668"/>
      <c r="D19" s="676"/>
      <c r="E19" s="669"/>
      <c r="F19" s="485"/>
      <c r="G19" s="485"/>
      <c r="H19" s="485"/>
      <c r="I19" s="485"/>
      <c r="J19" s="485"/>
      <c r="K19" s="485"/>
      <c r="L19" s="485"/>
      <c r="M19" s="485"/>
      <c r="N19" s="488"/>
      <c r="O19" s="488"/>
      <c r="P19" s="488"/>
    </row>
    <row r="20" spans="1:16" outlineLevel="2">
      <c r="A20" s="667">
        <v>7</v>
      </c>
      <c r="B20" s="383" t="s">
        <v>468</v>
      </c>
      <c r="C20" s="668" t="s">
        <v>295</v>
      </c>
      <c r="D20" s="668" t="s">
        <v>291</v>
      </c>
      <c r="E20" s="669">
        <v>40000</v>
      </c>
      <c r="F20" s="362">
        <v>20000</v>
      </c>
      <c r="G20" s="362">
        <v>0</v>
      </c>
      <c r="H20" s="362">
        <v>0</v>
      </c>
      <c r="I20" s="362">
        <v>0</v>
      </c>
      <c r="J20" s="362">
        <v>0</v>
      </c>
      <c r="K20" s="362">
        <v>60000</v>
      </c>
      <c r="L20" s="362">
        <v>9043.0875687999996</v>
      </c>
      <c r="M20" s="362">
        <v>7407</v>
      </c>
      <c r="N20" s="375">
        <v>7.5388349699999999</v>
      </c>
      <c r="O20" s="375">
        <v>8.6360353902794849</v>
      </c>
      <c r="P20" s="375">
        <v>5.8220229999999998E-2</v>
      </c>
    </row>
    <row r="21" spans="1:16" outlineLevel="2">
      <c r="A21" s="667">
        <v>8</v>
      </c>
      <c r="B21" s="383" t="s">
        <v>469</v>
      </c>
      <c r="C21" s="668" t="s">
        <v>292</v>
      </c>
      <c r="D21" s="668" t="s">
        <v>291</v>
      </c>
      <c r="E21" s="669">
        <v>0</v>
      </c>
      <c r="F21" s="362">
        <v>50000</v>
      </c>
      <c r="G21" s="362">
        <v>0</v>
      </c>
      <c r="H21" s="362">
        <v>0</v>
      </c>
      <c r="I21" s="362">
        <v>0</v>
      </c>
      <c r="J21" s="362">
        <v>0</v>
      </c>
      <c r="K21" s="362">
        <v>50000</v>
      </c>
      <c r="L21" s="362">
        <v>4712.6297910000003</v>
      </c>
      <c r="M21" s="362">
        <v>4490</v>
      </c>
      <c r="N21" s="375">
        <v>4.56991616</v>
      </c>
      <c r="O21" s="375">
        <v>5.2350207779606972</v>
      </c>
      <c r="P21" s="375">
        <v>3.4597009999999997E-2</v>
      </c>
    </row>
    <row r="22" spans="1:16" outlineLevel="2">
      <c r="A22" s="667">
        <v>9</v>
      </c>
      <c r="B22" s="383" t="s">
        <v>470</v>
      </c>
      <c r="C22" s="668" t="s">
        <v>294</v>
      </c>
      <c r="D22" s="668" t="s">
        <v>291</v>
      </c>
      <c r="E22" s="669">
        <v>85000</v>
      </c>
      <c r="F22" s="362">
        <v>40000</v>
      </c>
      <c r="G22" s="362">
        <v>0</v>
      </c>
      <c r="H22" s="362">
        <v>0</v>
      </c>
      <c r="I22" s="362">
        <v>0</v>
      </c>
      <c r="J22" s="362">
        <v>0</v>
      </c>
      <c r="K22" s="362">
        <v>125000</v>
      </c>
      <c r="L22" s="362">
        <v>7031.80339</v>
      </c>
      <c r="M22" s="362">
        <v>7518.75</v>
      </c>
      <c r="N22" s="375">
        <v>7.6525739699999997</v>
      </c>
      <c r="O22" s="375">
        <v>8.766327945276613</v>
      </c>
      <c r="P22" s="375">
        <v>8.0491060000000003E-2</v>
      </c>
    </row>
    <row r="23" spans="1:16" outlineLevel="2">
      <c r="A23" s="667">
        <v>10</v>
      </c>
      <c r="B23" s="383" t="s">
        <v>471</v>
      </c>
      <c r="C23" s="668" t="s">
        <v>293</v>
      </c>
      <c r="D23" s="668" t="s">
        <v>291</v>
      </c>
      <c r="E23" s="669">
        <v>12000</v>
      </c>
      <c r="F23" s="362">
        <v>17000</v>
      </c>
      <c r="G23" s="362">
        <v>0</v>
      </c>
      <c r="H23" s="362">
        <v>0</v>
      </c>
      <c r="I23" s="362">
        <v>0</v>
      </c>
      <c r="J23" s="362">
        <v>0</v>
      </c>
      <c r="K23" s="362">
        <v>29000</v>
      </c>
      <c r="L23" s="362">
        <v>8974.1118975000009</v>
      </c>
      <c r="M23" s="362">
        <v>8653.02</v>
      </c>
      <c r="N23" s="375">
        <v>8.8070325</v>
      </c>
      <c r="O23" s="375">
        <v>10.088806122964249</v>
      </c>
      <c r="P23" s="375">
        <v>0.16737964</v>
      </c>
    </row>
    <row r="24" spans="1:16" ht="16.5" outlineLevel="1" thickBot="1">
      <c r="A24" s="667"/>
      <c r="C24" s="668"/>
      <c r="D24" s="676" t="s">
        <v>449</v>
      </c>
      <c r="E24" s="671">
        <v>137000</v>
      </c>
      <c r="F24" s="672">
        <v>127000</v>
      </c>
      <c r="G24" s="672">
        <v>0</v>
      </c>
      <c r="H24" s="672">
        <v>0</v>
      </c>
      <c r="I24" s="672"/>
      <c r="J24" s="672">
        <v>0</v>
      </c>
      <c r="K24" s="672">
        <v>264000</v>
      </c>
      <c r="L24" s="672">
        <v>29761.632647300001</v>
      </c>
      <c r="M24" s="672">
        <v>28068.77</v>
      </c>
      <c r="N24" s="673">
        <v>28.568357599999999</v>
      </c>
      <c r="O24" s="673">
        <v>32.726190236481045</v>
      </c>
      <c r="P24" s="673">
        <v>0.34068794000000002</v>
      </c>
    </row>
    <row r="25" spans="1:16" ht="16.5" outlineLevel="1" thickTop="1">
      <c r="A25" s="667"/>
      <c r="C25" s="668"/>
      <c r="D25" s="676"/>
      <c r="E25" s="669"/>
      <c r="F25" s="485"/>
      <c r="G25" s="485"/>
      <c r="H25" s="485"/>
      <c r="I25" s="485"/>
      <c r="J25" s="485"/>
      <c r="K25" s="485"/>
      <c r="L25" s="485"/>
      <c r="M25" s="485"/>
      <c r="N25" s="488"/>
      <c r="O25" s="488"/>
      <c r="P25" s="488"/>
    </row>
    <row r="26" spans="1:16" outlineLevel="2">
      <c r="A26" s="667">
        <v>11</v>
      </c>
      <c r="B26" s="383" t="s">
        <v>462</v>
      </c>
      <c r="C26" s="668" t="s">
        <v>300</v>
      </c>
      <c r="D26" s="668" t="s">
        <v>299</v>
      </c>
      <c r="E26" s="669">
        <v>0</v>
      </c>
      <c r="F26" s="362">
        <v>20000</v>
      </c>
      <c r="G26" s="362">
        <v>0</v>
      </c>
      <c r="H26" s="362">
        <v>0</v>
      </c>
      <c r="I26" s="362">
        <v>0</v>
      </c>
      <c r="J26" s="362">
        <v>0</v>
      </c>
      <c r="K26" s="362">
        <v>20000</v>
      </c>
      <c r="L26" s="362">
        <v>3343.5335219999997</v>
      </c>
      <c r="M26" s="362">
        <v>2947.2</v>
      </c>
      <c r="N26" s="375">
        <v>2.9996563300000001</v>
      </c>
      <c r="O26" s="375">
        <v>3.4362256652128655</v>
      </c>
      <c r="P26" s="375">
        <v>3.8445279999999998E-2</v>
      </c>
    </row>
    <row r="27" spans="1:16" ht="16.5" outlineLevel="1" thickBot="1">
      <c r="A27" s="667"/>
      <c r="C27" s="668"/>
      <c r="D27" s="676" t="s">
        <v>450</v>
      </c>
      <c r="E27" s="671">
        <v>0</v>
      </c>
      <c r="F27" s="672">
        <v>20000</v>
      </c>
      <c r="G27" s="672">
        <v>0</v>
      </c>
      <c r="H27" s="672">
        <v>0</v>
      </c>
      <c r="I27" s="672"/>
      <c r="J27" s="672">
        <v>0</v>
      </c>
      <c r="K27" s="672">
        <v>20000</v>
      </c>
      <c r="L27" s="672">
        <v>3343.5335219999997</v>
      </c>
      <c r="M27" s="672">
        <v>2947.2</v>
      </c>
      <c r="N27" s="673">
        <v>2.9996563300000001</v>
      </c>
      <c r="O27" s="673">
        <v>3.4362256652128655</v>
      </c>
      <c r="P27" s="673">
        <v>3.8445279999999998E-2</v>
      </c>
    </row>
    <row r="28" spans="1:16" ht="16.5" outlineLevel="1" thickTop="1">
      <c r="A28" s="667"/>
      <c r="C28" s="668"/>
      <c r="D28" s="676"/>
      <c r="E28" s="669"/>
      <c r="F28" s="485"/>
      <c r="G28" s="485"/>
      <c r="H28" s="485"/>
      <c r="I28" s="485"/>
      <c r="J28" s="485"/>
      <c r="K28" s="485"/>
      <c r="L28" s="485"/>
      <c r="M28" s="485"/>
      <c r="N28" s="488"/>
      <c r="O28" s="488"/>
      <c r="P28" s="488"/>
    </row>
    <row r="29" spans="1:16" outlineLevel="2">
      <c r="A29" s="667">
        <v>12</v>
      </c>
      <c r="B29" s="383" t="s">
        <v>472</v>
      </c>
      <c r="C29" s="668" t="s">
        <v>289</v>
      </c>
      <c r="D29" s="668" t="s">
        <v>288</v>
      </c>
      <c r="E29" s="669">
        <v>12500</v>
      </c>
      <c r="F29" s="362">
        <v>30000</v>
      </c>
      <c r="G29" s="362">
        <v>0</v>
      </c>
      <c r="H29" s="362">
        <v>0</v>
      </c>
      <c r="I29" s="362">
        <v>0</v>
      </c>
      <c r="J29" s="362">
        <v>0</v>
      </c>
      <c r="K29" s="362">
        <v>42500</v>
      </c>
      <c r="L29" s="362">
        <v>6800.2725092999999</v>
      </c>
      <c r="M29" s="362">
        <v>5063.45</v>
      </c>
      <c r="N29" s="375">
        <v>5.1535728199999999</v>
      </c>
      <c r="O29" s="375">
        <v>5.903622707831869</v>
      </c>
      <c r="P29" s="375">
        <v>2.5680430000000001E-2</v>
      </c>
    </row>
    <row r="30" spans="1:16" outlineLevel="2">
      <c r="A30" s="667">
        <v>13</v>
      </c>
      <c r="B30" s="383" t="s">
        <v>473</v>
      </c>
      <c r="C30" s="668" t="s">
        <v>290</v>
      </c>
      <c r="D30" s="668" t="s">
        <v>288</v>
      </c>
      <c r="E30" s="669">
        <v>16500</v>
      </c>
      <c r="F30" s="362">
        <v>7500</v>
      </c>
      <c r="G30" s="362">
        <v>0</v>
      </c>
      <c r="H30" s="362">
        <v>0</v>
      </c>
      <c r="I30" s="362">
        <v>0</v>
      </c>
      <c r="J30" s="362">
        <v>0</v>
      </c>
      <c r="K30" s="362">
        <v>24000</v>
      </c>
      <c r="L30" s="362">
        <v>9408.7117885999996</v>
      </c>
      <c r="M30" s="362">
        <v>6921.36</v>
      </c>
      <c r="N30" s="375">
        <v>7.0445512099999998</v>
      </c>
      <c r="O30" s="375">
        <v>8.0698136774490088</v>
      </c>
      <c r="P30" s="375">
        <v>0.25475595000000001</v>
      </c>
    </row>
    <row r="31" spans="1:16" ht="16.5" outlineLevel="1" thickBot="1">
      <c r="A31" s="667"/>
      <c r="C31" s="668"/>
      <c r="D31" s="676" t="s">
        <v>451</v>
      </c>
      <c r="E31" s="671">
        <v>29000</v>
      </c>
      <c r="F31" s="672">
        <v>37500</v>
      </c>
      <c r="G31" s="677">
        <v>0</v>
      </c>
      <c r="H31" s="677">
        <v>0</v>
      </c>
      <c r="I31" s="672"/>
      <c r="J31" s="677">
        <v>0</v>
      </c>
      <c r="K31" s="677">
        <v>66500</v>
      </c>
      <c r="L31" s="677">
        <v>16208.984297899999</v>
      </c>
      <c r="M31" s="677">
        <v>11984.81</v>
      </c>
      <c r="N31" s="678">
        <v>12.198124029999999</v>
      </c>
      <c r="O31" s="678">
        <v>13.973436385280877</v>
      </c>
      <c r="P31" s="678">
        <v>0.28043637999999999</v>
      </c>
    </row>
    <row r="32" spans="1:16" ht="16.5" outlineLevel="1" thickTop="1">
      <c r="A32" s="667"/>
      <c r="C32" s="668"/>
      <c r="D32" s="676"/>
      <c r="E32" s="669"/>
      <c r="F32" s="485"/>
      <c r="G32" s="679"/>
      <c r="H32" s="679"/>
      <c r="I32" s="485"/>
      <c r="J32" s="679"/>
      <c r="K32" s="679"/>
      <c r="L32" s="679"/>
      <c r="M32" s="679"/>
      <c r="N32" s="680"/>
      <c r="O32" s="680"/>
      <c r="P32" s="680"/>
    </row>
    <row r="33" spans="1:16">
      <c r="A33" s="667">
        <v>14</v>
      </c>
      <c r="B33" s="383" t="s">
        <v>474</v>
      </c>
      <c r="C33" s="668" t="s">
        <v>303</v>
      </c>
      <c r="D33" s="668" t="s">
        <v>301</v>
      </c>
      <c r="E33" s="669">
        <v>0</v>
      </c>
      <c r="F33" s="362">
        <v>3350</v>
      </c>
      <c r="G33" s="362">
        <v>0</v>
      </c>
      <c r="H33" s="362">
        <v>0</v>
      </c>
      <c r="I33" s="362">
        <v>0</v>
      </c>
      <c r="J33" s="362">
        <v>0</v>
      </c>
      <c r="K33" s="362">
        <v>3350</v>
      </c>
      <c r="L33" s="362">
        <v>2368.8806249999998</v>
      </c>
      <c r="M33" s="362">
        <v>2535.6149999999998</v>
      </c>
      <c r="N33" s="375">
        <v>2.5807456499999999</v>
      </c>
      <c r="O33" s="375">
        <v>2.9563468173516285</v>
      </c>
      <c r="P33" s="375">
        <v>0.83997476000000004</v>
      </c>
    </row>
    <row r="34" spans="1:16">
      <c r="A34" s="667">
        <v>15</v>
      </c>
      <c r="B34" s="383" t="s">
        <v>475</v>
      </c>
      <c r="C34" s="668" t="s">
        <v>302</v>
      </c>
      <c r="D34" s="668" t="s">
        <v>301</v>
      </c>
      <c r="E34" s="669">
        <v>0</v>
      </c>
      <c r="F34" s="362">
        <v>4300</v>
      </c>
      <c r="G34" s="362">
        <v>0</v>
      </c>
      <c r="H34" s="362">
        <v>0</v>
      </c>
      <c r="I34" s="362">
        <v>0</v>
      </c>
      <c r="J34" s="362">
        <v>0</v>
      </c>
      <c r="K34" s="362">
        <v>4300</v>
      </c>
      <c r="L34" s="362">
        <v>3045.5970391999999</v>
      </c>
      <c r="M34" s="362">
        <v>2810.05</v>
      </c>
      <c r="N34" s="375">
        <v>2.86006524</v>
      </c>
      <c r="O34" s="375">
        <v>3.2763185160597903</v>
      </c>
      <c r="P34" s="375">
        <v>0.2870318</v>
      </c>
    </row>
    <row r="35" spans="1:16">
      <c r="A35" s="667">
        <v>16</v>
      </c>
      <c r="B35" s="383" t="s">
        <v>476</v>
      </c>
      <c r="C35" s="668" t="s">
        <v>304</v>
      </c>
      <c r="D35" s="668" t="s">
        <v>301</v>
      </c>
      <c r="E35" s="669">
        <v>0</v>
      </c>
      <c r="F35" s="362">
        <v>10000</v>
      </c>
      <c r="G35" s="362">
        <v>0</v>
      </c>
      <c r="H35" s="362">
        <v>0</v>
      </c>
      <c r="I35" s="362">
        <v>0</v>
      </c>
      <c r="J35" s="362">
        <v>0</v>
      </c>
      <c r="K35" s="362">
        <v>10000</v>
      </c>
      <c r="L35" s="362">
        <v>3380.0994632000002</v>
      </c>
      <c r="M35" s="362">
        <v>4003.2</v>
      </c>
      <c r="N35" s="375">
        <v>4.0744517499999997</v>
      </c>
      <c r="O35" s="375">
        <v>4.6674465876018401</v>
      </c>
      <c r="P35" s="375">
        <v>0.46635220999999999</v>
      </c>
    </row>
    <row r="36" spans="1:16" ht="16.5" thickBot="1">
      <c r="A36" s="667"/>
      <c r="C36" s="668"/>
      <c r="D36" s="676" t="s">
        <v>452</v>
      </c>
      <c r="E36" s="671">
        <v>0</v>
      </c>
      <c r="F36" s="672">
        <v>17650</v>
      </c>
      <c r="G36" s="672">
        <v>0</v>
      </c>
      <c r="H36" s="672">
        <v>0</v>
      </c>
      <c r="I36" s="672"/>
      <c r="J36" s="672">
        <v>0</v>
      </c>
      <c r="K36" s="672">
        <v>17650</v>
      </c>
      <c r="L36" s="672">
        <v>8794.5771273999999</v>
      </c>
      <c r="M36" s="672">
        <v>9348.8649999999998</v>
      </c>
      <c r="N36" s="673">
        <v>9.5152626399999995</v>
      </c>
      <c r="O36" s="673">
        <v>10.900111921013259</v>
      </c>
      <c r="P36" s="673">
        <v>1.59335877</v>
      </c>
    </row>
    <row r="37" spans="1:16" ht="16.5" thickTop="1">
      <c r="A37" s="667"/>
      <c r="C37" s="668"/>
      <c r="D37" s="676"/>
      <c r="E37" s="669"/>
      <c r="F37" s="485"/>
      <c r="G37" s="485"/>
      <c r="H37" s="485"/>
      <c r="I37" s="485"/>
      <c r="J37" s="485"/>
      <c r="K37" s="485"/>
      <c r="L37" s="485"/>
      <c r="M37" s="485"/>
      <c r="N37" s="488"/>
      <c r="O37" s="488"/>
      <c r="P37" s="488"/>
    </row>
    <row r="38" spans="1:16">
      <c r="A38" s="667">
        <v>17</v>
      </c>
      <c r="B38" s="383" t="s">
        <v>477</v>
      </c>
      <c r="C38" s="668" t="s">
        <v>307</v>
      </c>
      <c r="D38" s="668" t="s">
        <v>305</v>
      </c>
      <c r="E38" s="669">
        <v>0</v>
      </c>
      <c r="F38" s="362">
        <v>75000</v>
      </c>
      <c r="G38" s="362">
        <v>0</v>
      </c>
      <c r="H38" s="362">
        <v>0</v>
      </c>
      <c r="I38" s="362">
        <v>0</v>
      </c>
      <c r="J38" s="362">
        <v>0</v>
      </c>
      <c r="K38" s="362">
        <v>75000</v>
      </c>
      <c r="L38" s="362">
        <v>6517.3749625</v>
      </c>
      <c r="M38" s="362">
        <v>7106.25</v>
      </c>
      <c r="N38" s="375">
        <v>7.2327320100000003</v>
      </c>
      <c r="O38" s="375">
        <v>8.2853822724684196</v>
      </c>
      <c r="P38" s="375">
        <v>8.0729609999999993E-2</v>
      </c>
    </row>
    <row r="39" spans="1:16">
      <c r="A39" s="667">
        <v>18</v>
      </c>
      <c r="B39" s="383" t="s">
        <v>478</v>
      </c>
      <c r="C39" s="668" t="s">
        <v>306</v>
      </c>
      <c r="D39" s="668" t="s">
        <v>305</v>
      </c>
      <c r="E39" s="669">
        <v>10000</v>
      </c>
      <c r="F39" s="362">
        <v>30000</v>
      </c>
      <c r="G39" s="362">
        <v>0</v>
      </c>
      <c r="H39" s="362">
        <v>0</v>
      </c>
      <c r="I39" s="362">
        <v>0</v>
      </c>
      <c r="J39" s="362">
        <v>0</v>
      </c>
      <c r="K39" s="362">
        <v>40000</v>
      </c>
      <c r="L39" s="362">
        <v>3899.2737459999998</v>
      </c>
      <c r="M39" s="362">
        <v>3929.6</v>
      </c>
      <c r="N39" s="375">
        <v>3.99954177</v>
      </c>
      <c r="O39" s="375">
        <v>4.5816342202838207</v>
      </c>
      <c r="P39" s="375">
        <v>3.3959169999999997E-2</v>
      </c>
    </row>
    <row r="40" spans="1:16">
      <c r="A40" s="667"/>
      <c r="B40" s="668"/>
      <c r="C40" s="668"/>
      <c r="D40" s="676" t="s">
        <v>453</v>
      </c>
      <c r="E40" s="681">
        <v>10000</v>
      </c>
      <c r="F40" s="682">
        <v>105000</v>
      </c>
      <c r="G40" s="683">
        <v>0</v>
      </c>
      <c r="H40" s="683">
        <v>0</v>
      </c>
      <c r="I40" s="682"/>
      <c r="J40" s="683">
        <v>0</v>
      </c>
      <c r="K40" s="683">
        <v>115000</v>
      </c>
      <c r="L40" s="683">
        <v>10416.648708500001</v>
      </c>
      <c r="M40" s="683">
        <v>11035.85</v>
      </c>
      <c r="N40" s="684">
        <v>11.23227378</v>
      </c>
      <c r="O40" s="684">
        <v>12.86701649275224</v>
      </c>
      <c r="P40" s="684">
        <v>0.11468877999999999</v>
      </c>
    </row>
    <row r="41" spans="1:16">
      <c r="A41" s="667"/>
      <c r="B41" s="668"/>
      <c r="C41" s="668"/>
      <c r="D41" s="676"/>
      <c r="E41" s="681"/>
      <c r="F41" s="682"/>
      <c r="G41" s="683"/>
      <c r="H41" s="683"/>
      <c r="I41" s="682"/>
      <c r="J41" s="683"/>
      <c r="K41" s="683"/>
      <c r="L41" s="683"/>
      <c r="M41" s="683"/>
      <c r="N41" s="684"/>
      <c r="O41" s="684"/>
      <c r="P41" s="684"/>
    </row>
    <row r="42" spans="1:16" ht="16.5" thickBot="1">
      <c r="A42" s="667"/>
      <c r="B42" s="668"/>
      <c r="C42" s="668"/>
      <c r="D42" s="676" t="s">
        <v>454</v>
      </c>
      <c r="E42" s="671">
        <v>181000</v>
      </c>
      <c r="F42" s="672">
        <v>460050</v>
      </c>
      <c r="G42" s="677">
        <v>0</v>
      </c>
      <c r="H42" s="677">
        <v>0</v>
      </c>
      <c r="I42" s="672"/>
      <c r="J42" s="677">
        <v>0</v>
      </c>
      <c r="K42" s="677">
        <v>641050</v>
      </c>
      <c r="L42" s="677">
        <v>93148.423030600025</v>
      </c>
      <c r="M42" s="677">
        <v>85768.523000000001</v>
      </c>
      <c r="N42" s="678">
        <v>87.295091179999986</v>
      </c>
      <c r="O42" s="678">
        <v>100</v>
      </c>
      <c r="P42" s="678">
        <v>3.7603217</v>
      </c>
    </row>
    <row r="43" spans="1:16" ht="16.5" thickTop="1"/>
  </sheetData>
  <pageMargins left="0.45" right="0.45" top="0.75" bottom="0.75" header="0.3" footer="0.3"/>
  <pageSetup scale="51" orientation="portrait" r:id="rId1"/>
  <headerFooter>
    <oddFooter>&amp;C7 of 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55"/>
  <sheetViews>
    <sheetView view="pageBreakPreview" zoomScaleSheetLayoutView="100" workbookViewId="0">
      <selection activeCell="C13" sqref="C13"/>
    </sheetView>
  </sheetViews>
  <sheetFormatPr defaultRowHeight="12"/>
  <cols>
    <col min="1" max="1" width="4" style="56" bestFit="1" customWidth="1"/>
    <col min="2" max="2" width="3.625" style="59" customWidth="1"/>
    <col min="3" max="3" width="26.875" style="57" customWidth="1"/>
    <col min="4" max="4" width="3.625" style="387" customWidth="1"/>
    <col min="5" max="5" width="11" style="387" customWidth="1"/>
    <col min="6" max="6" width="0.875" style="387" customWidth="1"/>
    <col min="7" max="7" width="8.75" style="387" customWidth="1"/>
    <col min="8" max="8" width="1" style="30" customWidth="1"/>
    <col min="9" max="9" width="9.375" style="57" customWidth="1"/>
    <col min="10" max="10" width="0.875" style="57" customWidth="1"/>
    <col min="11" max="11" width="10.625" style="57" customWidth="1"/>
    <col min="12" max="12" width="0.75" style="57" customWidth="1"/>
    <col min="13" max="13" width="10.25" style="57" customWidth="1"/>
    <col min="14" max="16384" width="9" style="57"/>
  </cols>
  <sheetData>
    <row r="1" spans="1:13" s="387" customFormat="1">
      <c r="A1" s="386"/>
      <c r="B1" s="59"/>
      <c r="F1" s="628"/>
      <c r="G1" s="718" t="s">
        <v>404</v>
      </c>
      <c r="H1" s="718"/>
      <c r="I1" s="718"/>
      <c r="J1" s="718"/>
      <c r="K1" s="718"/>
      <c r="L1" s="718"/>
      <c r="M1" s="718"/>
    </row>
    <row r="2" spans="1:13" s="387" customFormat="1" ht="36">
      <c r="A2" s="386"/>
      <c r="B2" s="59"/>
      <c r="G2" s="494" t="s">
        <v>323</v>
      </c>
      <c r="H2" s="4"/>
      <c r="I2" s="494" t="s">
        <v>324</v>
      </c>
      <c r="J2" s="4"/>
      <c r="K2" s="507" t="s">
        <v>325</v>
      </c>
      <c r="L2" s="538"/>
      <c r="M2" s="507" t="s">
        <v>215</v>
      </c>
    </row>
    <row r="3" spans="1:13">
      <c r="A3" s="386">
        <v>3.2</v>
      </c>
      <c r="B3" s="102" t="s">
        <v>407</v>
      </c>
      <c r="C3" s="433"/>
      <c r="D3" s="569"/>
      <c r="G3" s="719" t="s">
        <v>405</v>
      </c>
      <c r="H3" s="719"/>
      <c r="I3" s="719"/>
      <c r="J3" s="719"/>
      <c r="K3" s="719"/>
      <c r="L3" s="719"/>
      <c r="M3" s="719"/>
    </row>
    <row r="4" spans="1:13">
      <c r="A4" s="386"/>
      <c r="B4" s="104" t="s">
        <v>409</v>
      </c>
      <c r="C4" s="433"/>
      <c r="D4" s="569"/>
      <c r="G4" s="717" t="s">
        <v>406</v>
      </c>
      <c r="H4" s="717"/>
      <c r="I4" s="717"/>
      <c r="J4" s="717"/>
      <c r="K4" s="717"/>
      <c r="L4" s="717"/>
      <c r="M4" s="717"/>
    </row>
    <row r="5" spans="1:13" s="387" customFormat="1">
      <c r="A5" s="386"/>
      <c r="B5" s="104" t="s">
        <v>408</v>
      </c>
      <c r="C5" s="569"/>
      <c r="D5" s="569"/>
      <c r="G5" s="569"/>
      <c r="H5" s="569"/>
      <c r="I5" s="569"/>
      <c r="J5" s="45"/>
      <c r="L5" s="456"/>
      <c r="M5" s="456"/>
    </row>
    <row r="6" spans="1:13">
      <c r="A6" s="389"/>
      <c r="B6" s="384"/>
      <c r="C6" s="434"/>
      <c r="D6" s="570"/>
      <c r="G6" s="570"/>
      <c r="H6" s="570"/>
      <c r="I6" s="570"/>
      <c r="J6" s="390"/>
      <c r="K6" s="570"/>
      <c r="L6" s="592"/>
      <c r="M6" s="592"/>
    </row>
    <row r="7" spans="1:13">
      <c r="A7" s="386"/>
      <c r="B7" s="391" t="s">
        <v>158</v>
      </c>
      <c r="C7" s="433"/>
      <c r="D7" s="569"/>
      <c r="G7" s="632">
        <v>85768.523000000001</v>
      </c>
      <c r="H7" s="569"/>
      <c r="I7" s="632">
        <v>0</v>
      </c>
      <c r="J7" s="569"/>
      <c r="K7" s="632">
        <v>0</v>
      </c>
      <c r="L7" s="593"/>
      <c r="M7" s="632">
        <v>85768.523000000001</v>
      </c>
    </row>
    <row r="8" spans="1:13" ht="1.5" customHeight="1">
      <c r="A8" s="386"/>
      <c r="B8" s="105"/>
      <c r="C8" s="433"/>
      <c r="D8" s="569"/>
      <c r="G8" s="633"/>
      <c r="H8" s="569"/>
      <c r="I8" s="633"/>
      <c r="J8" s="569"/>
      <c r="K8" s="633"/>
      <c r="L8" s="125"/>
      <c r="M8" s="633"/>
    </row>
    <row r="9" spans="1:13">
      <c r="A9" s="386"/>
      <c r="B9" s="105" t="s">
        <v>412</v>
      </c>
      <c r="C9" s="105"/>
      <c r="D9" s="569"/>
      <c r="G9" s="634">
        <v>93148.422999999995</v>
      </c>
      <c r="H9" s="569"/>
      <c r="I9" s="634">
        <v>0</v>
      </c>
      <c r="J9" s="569"/>
      <c r="K9" s="634">
        <v>0</v>
      </c>
      <c r="L9" s="125"/>
      <c r="M9" s="634">
        <v>93148.422999999995</v>
      </c>
    </row>
    <row r="10" spans="1:13">
      <c r="A10" s="386"/>
      <c r="B10" s="65" t="s">
        <v>410</v>
      </c>
      <c r="C10" s="433"/>
      <c r="D10" s="569"/>
      <c r="G10" s="635">
        <v>-7379.8999999999942</v>
      </c>
      <c r="H10" s="569"/>
      <c r="I10" s="635">
        <v>0</v>
      </c>
      <c r="J10" s="569"/>
      <c r="K10" s="635">
        <v>0</v>
      </c>
      <c r="L10" s="594"/>
      <c r="M10" s="635">
        <v>-7379.8999999999942</v>
      </c>
    </row>
    <row r="11" spans="1:13">
      <c r="A11" s="386"/>
      <c r="B11" s="106" t="s">
        <v>411</v>
      </c>
      <c r="C11" s="433"/>
      <c r="D11" s="569"/>
      <c r="G11" s="630">
        <v>-25.09</v>
      </c>
      <c r="H11" s="569"/>
      <c r="I11" s="630">
        <v>0</v>
      </c>
      <c r="J11" s="569"/>
      <c r="K11" s="630">
        <v>0</v>
      </c>
      <c r="L11" s="595"/>
      <c r="M11" s="630">
        <v>-25.09</v>
      </c>
    </row>
    <row r="12" spans="1:13" ht="12.75" thickBot="1">
      <c r="A12" s="386"/>
      <c r="B12" s="106"/>
      <c r="C12" s="433"/>
      <c r="D12" s="569"/>
      <c r="G12" s="631">
        <v>-7354.809999999994</v>
      </c>
      <c r="H12" s="569"/>
      <c r="I12" s="631">
        <v>0</v>
      </c>
      <c r="J12" s="569"/>
      <c r="K12" s="631">
        <v>0</v>
      </c>
      <c r="L12" s="595"/>
      <c r="M12" s="631">
        <v>-7354.809999999994</v>
      </c>
    </row>
    <row r="13" spans="1:13" ht="24.75" customHeight="1" thickTop="1">
      <c r="A13" s="171"/>
      <c r="B13" s="388"/>
      <c r="C13" s="388"/>
      <c r="D13" s="388"/>
      <c r="E13" s="388"/>
      <c r="F13" s="388"/>
      <c r="G13" s="388"/>
      <c r="H13" s="388"/>
      <c r="I13" s="392"/>
      <c r="J13" s="392"/>
      <c r="K13" s="388"/>
      <c r="L13" s="392"/>
    </row>
    <row r="14" spans="1:13" ht="1.5" customHeight="1">
      <c r="A14" s="446"/>
      <c r="B14" s="446"/>
      <c r="C14" s="446"/>
      <c r="D14" s="446"/>
      <c r="E14" s="692" t="s">
        <v>328</v>
      </c>
      <c r="F14" s="693"/>
      <c r="G14" s="693"/>
      <c r="H14" s="693"/>
      <c r="I14" s="693"/>
      <c r="J14" s="693"/>
      <c r="K14" s="694"/>
      <c r="L14" s="28"/>
      <c r="M14" s="578"/>
    </row>
    <row r="15" spans="1:13" ht="13.5" customHeight="1">
      <c r="A15" s="449">
        <v>4</v>
      </c>
      <c r="B15" s="450" t="s">
        <v>247</v>
      </c>
      <c r="C15" s="451"/>
      <c r="D15" s="451"/>
      <c r="E15" s="695"/>
      <c r="F15" s="696"/>
      <c r="G15" s="696"/>
      <c r="H15" s="696"/>
      <c r="I15" s="696"/>
      <c r="J15" s="696"/>
      <c r="K15" s="697"/>
      <c r="L15" s="28"/>
      <c r="M15" s="629" t="s">
        <v>142</v>
      </c>
    </row>
    <row r="16" spans="1:13" ht="36">
      <c r="A16" s="201"/>
      <c r="B16" s="452"/>
      <c r="C16" s="6"/>
      <c r="D16" s="6"/>
      <c r="E16" s="539" t="s">
        <v>323</v>
      </c>
      <c r="F16" s="4"/>
      <c r="G16" s="539" t="s">
        <v>324</v>
      </c>
      <c r="H16" s="4"/>
      <c r="I16" s="540" t="s">
        <v>325</v>
      </c>
      <c r="J16" s="538"/>
      <c r="K16" s="507" t="s">
        <v>215</v>
      </c>
      <c r="L16" s="596"/>
      <c r="M16" s="579" t="s">
        <v>329</v>
      </c>
    </row>
    <row r="17" spans="1:13" s="387" customFormat="1">
      <c r="A17" s="201"/>
      <c r="B17" s="452"/>
      <c r="C17" s="6"/>
      <c r="D17" s="6"/>
      <c r="E17" s="731" t="s">
        <v>339</v>
      </c>
      <c r="F17" s="731"/>
      <c r="G17" s="732"/>
      <c r="H17" s="732"/>
      <c r="I17" s="732"/>
      <c r="J17" s="732"/>
      <c r="K17" s="732"/>
      <c r="L17" s="732"/>
      <c r="M17" s="732"/>
    </row>
    <row r="18" spans="1:13" s="387" customFormat="1">
      <c r="A18" s="201"/>
      <c r="B18" s="452"/>
      <c r="C18" s="6"/>
      <c r="D18" s="6"/>
      <c r="E18" s="586"/>
      <c r="F18" s="586"/>
      <c r="G18" s="587"/>
      <c r="H18" s="587"/>
      <c r="I18" s="587"/>
      <c r="J18" s="587"/>
      <c r="K18" s="587"/>
      <c r="L18" s="587"/>
      <c r="M18" s="587"/>
    </row>
    <row r="19" spans="1:13">
      <c r="A19" s="201"/>
      <c r="B19" s="453" t="s">
        <v>248</v>
      </c>
      <c r="C19" s="6"/>
      <c r="D19" s="6"/>
      <c r="E19" s="6">
        <v>1172.75</v>
      </c>
      <c r="F19" s="6"/>
      <c r="G19" s="6">
        <v>0</v>
      </c>
      <c r="H19" s="6"/>
      <c r="I19" s="598">
        <v>0</v>
      </c>
      <c r="J19" s="127">
        <v>0</v>
      </c>
      <c r="K19" s="602">
        <v>1172.75</v>
      </c>
      <c r="L19" s="127">
        <v>52051</v>
      </c>
      <c r="M19" s="397">
        <v>0</v>
      </c>
    </row>
    <row r="20" spans="1:13">
      <c r="A20" s="201"/>
      <c r="B20" s="453" t="s">
        <v>246</v>
      </c>
      <c r="C20" s="6"/>
      <c r="D20" s="6"/>
      <c r="E20" s="6">
        <v>94.093000000000004</v>
      </c>
      <c r="F20" s="6"/>
      <c r="G20" s="6">
        <v>515.69000000000005</v>
      </c>
      <c r="H20" s="6"/>
      <c r="I20" s="598">
        <v>659.23199999999997</v>
      </c>
      <c r="J20" s="127">
        <v>0</v>
      </c>
      <c r="K20" s="602">
        <v>1269.0149999999999</v>
      </c>
      <c r="L20" s="127">
        <v>16597</v>
      </c>
      <c r="M20" s="463">
        <v>531</v>
      </c>
    </row>
    <row r="21" spans="1:13" ht="12.75" thickBot="1">
      <c r="A21" s="201"/>
      <c r="B21" s="454"/>
      <c r="C21" s="6"/>
      <c r="D21" s="6"/>
      <c r="E21" s="174">
        <v>1266.8430000000001</v>
      </c>
      <c r="F21" s="18"/>
      <c r="G21" s="174">
        <v>515.69000000000005</v>
      </c>
      <c r="H21" s="18"/>
      <c r="I21" s="174">
        <v>659.23199999999997</v>
      </c>
      <c r="J21" s="601"/>
      <c r="K21" s="174">
        <v>2441.7649999999999</v>
      </c>
      <c r="L21" s="69">
        <v>68648</v>
      </c>
      <c r="M21" s="21">
        <v>531</v>
      </c>
    </row>
    <row r="22" spans="1:13" ht="12.75" thickTop="1">
      <c r="E22" s="463"/>
      <c r="F22" s="463"/>
      <c r="G22" s="463"/>
      <c r="H22" s="599"/>
      <c r="I22" s="463"/>
      <c r="J22" s="463"/>
      <c r="K22" s="463"/>
      <c r="L22" s="463"/>
      <c r="M22" s="463"/>
    </row>
    <row r="23" spans="1:13">
      <c r="A23" s="401">
        <v>5</v>
      </c>
      <c r="B23" s="376" t="s">
        <v>361</v>
      </c>
      <c r="C23" s="434"/>
      <c r="D23" s="570"/>
      <c r="E23" s="570"/>
      <c r="F23" s="570"/>
      <c r="G23" s="570"/>
      <c r="H23" s="390"/>
      <c r="I23" s="434"/>
      <c r="J23" s="447"/>
      <c r="K23" s="448"/>
      <c r="L23" s="447"/>
    </row>
    <row r="24" spans="1:13">
      <c r="A24" s="389"/>
      <c r="B24" s="384"/>
      <c r="C24" s="434"/>
      <c r="D24" s="570"/>
      <c r="E24" s="570"/>
      <c r="F24" s="570"/>
      <c r="G24" s="570"/>
      <c r="H24" s="390"/>
      <c r="I24" s="434"/>
      <c r="J24" s="8"/>
      <c r="K24" s="448"/>
      <c r="L24" s="8"/>
    </row>
    <row r="25" spans="1:13" ht="5.25" customHeight="1">
      <c r="A25" s="389"/>
      <c r="E25" s="692" t="s">
        <v>328</v>
      </c>
      <c r="F25" s="693"/>
      <c r="G25" s="693"/>
      <c r="H25" s="693"/>
      <c r="I25" s="693"/>
      <c r="J25" s="693"/>
      <c r="K25" s="694"/>
      <c r="L25" s="28"/>
      <c r="M25" s="737" t="s">
        <v>142</v>
      </c>
    </row>
    <row r="26" spans="1:13" ht="11.25" customHeight="1">
      <c r="A26" s="389"/>
      <c r="E26" s="695"/>
      <c r="F26" s="696"/>
      <c r="G26" s="696"/>
      <c r="H26" s="696"/>
      <c r="I26" s="696"/>
      <c r="J26" s="696"/>
      <c r="K26" s="697"/>
      <c r="L26" s="28"/>
      <c r="M26" s="738"/>
    </row>
    <row r="27" spans="1:13" ht="36">
      <c r="A27" s="389"/>
      <c r="E27" s="539" t="s">
        <v>323</v>
      </c>
      <c r="F27" s="4"/>
      <c r="G27" s="539" t="s">
        <v>324</v>
      </c>
      <c r="H27" s="4"/>
      <c r="I27" s="540" t="s">
        <v>325</v>
      </c>
      <c r="J27" s="538"/>
      <c r="K27" s="507" t="s">
        <v>215</v>
      </c>
      <c r="L27" s="596"/>
      <c r="M27" s="579" t="s">
        <v>329</v>
      </c>
    </row>
    <row r="28" spans="1:13" s="387" customFormat="1">
      <c r="A28" s="389"/>
      <c r="E28" s="731" t="s">
        <v>339</v>
      </c>
      <c r="F28" s="731"/>
      <c r="G28" s="732"/>
      <c r="H28" s="732"/>
      <c r="I28" s="732"/>
      <c r="J28" s="732"/>
      <c r="K28" s="732"/>
      <c r="L28" s="732"/>
      <c r="M28" s="732"/>
    </row>
    <row r="29" spans="1:13">
      <c r="A29" s="389"/>
      <c r="E29" s="458"/>
      <c r="F29" s="458"/>
      <c r="G29" s="458"/>
      <c r="H29" s="390"/>
      <c r="I29" s="434"/>
      <c r="J29" s="397">
        <v>0</v>
      </c>
      <c r="K29" s="398"/>
      <c r="L29" s="397">
        <v>21672</v>
      </c>
    </row>
    <row r="30" spans="1:13" ht="15">
      <c r="A30" s="389"/>
      <c r="B30" s="391" t="s">
        <v>225</v>
      </c>
      <c r="C30" s="423"/>
      <c r="D30" s="423"/>
      <c r="E30" s="570"/>
      <c r="F30" s="570"/>
      <c r="G30" s="570"/>
      <c r="H30" s="390"/>
      <c r="I30" s="434"/>
      <c r="J30" s="455">
        <v>0</v>
      </c>
      <c r="K30" s="399"/>
      <c r="L30" s="455">
        <v>21672</v>
      </c>
      <c r="M30" s="463"/>
    </row>
    <row r="31" spans="1:13">
      <c r="A31" s="389"/>
      <c r="B31" s="457" t="s">
        <v>363</v>
      </c>
      <c r="E31" s="607">
        <v>123.047</v>
      </c>
      <c r="F31" s="607">
        <v>0</v>
      </c>
      <c r="G31" s="607">
        <v>96.015000000000001</v>
      </c>
      <c r="H31" s="607">
        <v>0</v>
      </c>
      <c r="I31" s="607">
        <v>100.566</v>
      </c>
      <c r="J31" s="397"/>
      <c r="K31" s="603">
        <v>319.62800000000004</v>
      </c>
      <c r="L31" s="387"/>
      <c r="M31" s="397">
        <v>141</v>
      </c>
    </row>
    <row r="32" spans="1:13">
      <c r="A32" s="400"/>
      <c r="B32" s="457" t="s">
        <v>364</v>
      </c>
      <c r="E32" s="607">
        <v>19.983000000000001</v>
      </c>
      <c r="F32" s="607">
        <v>0</v>
      </c>
      <c r="G32" s="607">
        <v>15.593</v>
      </c>
      <c r="H32" s="607">
        <v>0</v>
      </c>
      <c r="I32" s="607">
        <v>16.332000000000001</v>
      </c>
      <c r="J32" s="397"/>
      <c r="K32" s="603">
        <v>51.908000000000001</v>
      </c>
      <c r="L32" s="387"/>
      <c r="M32" s="397">
        <v>25</v>
      </c>
    </row>
    <row r="33" spans="1:13">
      <c r="A33" s="389"/>
      <c r="B33" s="457" t="s">
        <v>365</v>
      </c>
      <c r="E33" s="607">
        <v>80.832999999999998</v>
      </c>
      <c r="F33" s="607">
        <v>0</v>
      </c>
      <c r="G33" s="607">
        <v>80.832999999999998</v>
      </c>
      <c r="H33" s="607">
        <v>0</v>
      </c>
      <c r="I33" s="607">
        <v>80.832999999999998</v>
      </c>
      <c r="J33" s="397"/>
      <c r="K33" s="603">
        <v>242.499</v>
      </c>
      <c r="L33" s="387"/>
      <c r="M33" s="397">
        <v>242</v>
      </c>
    </row>
    <row r="34" spans="1:13" s="387" customFormat="1">
      <c r="A34" s="389"/>
      <c r="B34" s="457" t="s">
        <v>366</v>
      </c>
      <c r="E34" s="607">
        <v>2600</v>
      </c>
      <c r="F34" s="607">
        <v>0</v>
      </c>
      <c r="G34" s="607">
        <v>100</v>
      </c>
      <c r="H34" s="607">
        <v>0</v>
      </c>
      <c r="I34" s="607">
        <v>0</v>
      </c>
      <c r="J34" s="397"/>
      <c r="K34" s="603">
        <v>2700</v>
      </c>
      <c r="M34" s="397">
        <v>2700</v>
      </c>
    </row>
    <row r="35" spans="1:13">
      <c r="A35" s="389"/>
      <c r="B35" s="457" t="s">
        <v>367</v>
      </c>
      <c r="E35" s="607">
        <v>25</v>
      </c>
      <c r="F35" s="607">
        <v>0</v>
      </c>
      <c r="G35" s="607">
        <v>25</v>
      </c>
      <c r="H35" s="607">
        <v>0</v>
      </c>
      <c r="I35" s="607">
        <v>20</v>
      </c>
      <c r="J35" s="600"/>
      <c r="K35" s="603">
        <v>70</v>
      </c>
      <c r="L35" s="447"/>
      <c r="M35" s="397">
        <v>70</v>
      </c>
    </row>
    <row r="36" spans="1:13" s="387" customFormat="1" ht="12.75" thickBot="1">
      <c r="A36" s="389"/>
      <c r="B36" s="457"/>
      <c r="E36" s="604">
        <v>2848.8629999999998</v>
      </c>
      <c r="F36" s="605"/>
      <c r="G36" s="604">
        <v>317.44100000000003</v>
      </c>
      <c r="H36" s="606"/>
      <c r="I36" s="604">
        <v>217.73099999999999</v>
      </c>
      <c r="J36" s="567"/>
      <c r="K36" s="604">
        <v>3384.0349999999999</v>
      </c>
      <c r="L36" s="567"/>
      <c r="M36" s="126">
        <v>3178</v>
      </c>
    </row>
    <row r="37" spans="1:13" s="387" customFormat="1" ht="12.75" thickTop="1">
      <c r="A37" s="389"/>
      <c r="B37" s="384"/>
      <c r="C37" s="570"/>
      <c r="D37" s="570"/>
      <c r="E37" s="570"/>
      <c r="F37" s="570"/>
      <c r="G37" s="570"/>
      <c r="H37" s="390"/>
      <c r="I37" s="570"/>
      <c r="J37" s="567"/>
      <c r="K37" s="568"/>
      <c r="L37" s="567"/>
    </row>
    <row r="38" spans="1:13" s="387" customFormat="1">
      <c r="A38" s="389"/>
      <c r="B38" s="384"/>
      <c r="C38" s="570"/>
      <c r="D38" s="570"/>
      <c r="E38" s="570"/>
      <c r="F38" s="570"/>
      <c r="G38" s="570"/>
      <c r="H38" s="390"/>
      <c r="I38" s="570"/>
      <c r="J38" s="567"/>
      <c r="K38" s="568"/>
      <c r="L38" s="567"/>
    </row>
    <row r="39" spans="1:13" s="387" customFormat="1">
      <c r="A39" s="389"/>
      <c r="B39" s="384"/>
      <c r="C39" s="570"/>
      <c r="D39" s="570"/>
      <c r="E39" s="570"/>
      <c r="F39" s="570"/>
      <c r="G39" s="570"/>
      <c r="H39" s="390"/>
      <c r="I39" s="570"/>
      <c r="J39" s="567"/>
      <c r="K39" s="568"/>
      <c r="L39" s="567"/>
    </row>
    <row r="40" spans="1:13" s="387" customFormat="1">
      <c r="A40" s="389"/>
      <c r="B40" s="384"/>
      <c r="C40" s="570"/>
      <c r="D40" s="570"/>
      <c r="E40" s="570"/>
      <c r="F40" s="570"/>
      <c r="G40" s="570"/>
      <c r="H40" s="390"/>
      <c r="I40" s="570"/>
      <c r="J40" s="567"/>
      <c r="K40" s="568"/>
      <c r="L40" s="567"/>
    </row>
    <row r="41" spans="1:13" s="387" customFormat="1">
      <c r="A41" s="389"/>
      <c r="B41" s="384"/>
      <c r="C41" s="570"/>
      <c r="D41" s="570"/>
      <c r="E41" s="570"/>
      <c r="F41" s="570"/>
      <c r="G41" s="570"/>
      <c r="H41" s="390"/>
      <c r="I41" s="570"/>
      <c r="J41" s="567"/>
      <c r="K41" s="568"/>
      <c r="L41" s="567"/>
    </row>
    <row r="42" spans="1:13" s="387" customFormat="1">
      <c r="A42" s="389"/>
      <c r="B42" s="384"/>
      <c r="C42" s="570"/>
      <c r="D42" s="570"/>
      <c r="E42" s="570"/>
      <c r="F42" s="570"/>
      <c r="G42" s="570"/>
      <c r="H42" s="390"/>
      <c r="I42" s="570"/>
      <c r="J42" s="567"/>
      <c r="K42" s="568"/>
      <c r="L42" s="567"/>
    </row>
    <row r="43" spans="1:13" s="387" customFormat="1">
      <c r="A43" s="401">
        <v>6</v>
      </c>
      <c r="B43" s="384" t="s">
        <v>368</v>
      </c>
      <c r="C43" s="292"/>
      <c r="D43" s="292"/>
      <c r="E43" s="71"/>
      <c r="F43" s="28"/>
      <c r="G43" s="28"/>
      <c r="H43" s="28"/>
      <c r="I43" s="28"/>
      <c r="J43" s="28"/>
      <c r="K43" s="28"/>
      <c r="L43" s="643"/>
      <c r="M43" s="421"/>
    </row>
    <row r="44" spans="1:13" s="387" customFormat="1">
      <c r="A44" s="389"/>
      <c r="B44" s="292"/>
      <c r="C44" s="292"/>
      <c r="D44" s="292"/>
      <c r="E44" s="28"/>
      <c r="F44" s="28"/>
      <c r="G44" s="28"/>
      <c r="H44" s="28"/>
      <c r="I44" s="28"/>
      <c r="J44" s="28"/>
      <c r="K44" s="28"/>
      <c r="L44" s="28"/>
      <c r="M44" s="578"/>
    </row>
    <row r="45" spans="1:13" s="387" customFormat="1">
      <c r="A45" s="51"/>
      <c r="B45" s="78"/>
      <c r="C45" s="279"/>
      <c r="D45" s="279"/>
      <c r="E45" s="721" t="s">
        <v>328</v>
      </c>
      <c r="F45" s="722"/>
      <c r="G45" s="722"/>
      <c r="H45" s="722"/>
      <c r="I45" s="722"/>
      <c r="J45" s="722"/>
      <c r="K45" s="723"/>
      <c r="L45" s="28"/>
      <c r="M45" s="578" t="s">
        <v>142</v>
      </c>
    </row>
    <row r="46" spans="1:13" s="387" customFormat="1" ht="36">
      <c r="A46" s="77"/>
      <c r="B46" s="279"/>
      <c r="C46" s="279"/>
      <c r="D46" s="279"/>
      <c r="E46" s="539" t="s">
        <v>323</v>
      </c>
      <c r="F46" s="4"/>
      <c r="G46" s="539" t="s">
        <v>324</v>
      </c>
      <c r="H46" s="4"/>
      <c r="I46" s="540" t="s">
        <v>325</v>
      </c>
      <c r="J46" s="538"/>
      <c r="K46" s="540" t="s">
        <v>215</v>
      </c>
      <c r="L46" s="596"/>
      <c r="M46" s="579" t="s">
        <v>329</v>
      </c>
    </row>
    <row r="47" spans="1:13" s="387" customFormat="1">
      <c r="A47" s="77"/>
      <c r="B47" s="279"/>
      <c r="C47" s="279"/>
      <c r="D47" s="279"/>
      <c r="E47" s="731" t="s">
        <v>370</v>
      </c>
      <c r="F47" s="731"/>
      <c r="G47" s="731"/>
      <c r="H47" s="731"/>
      <c r="I47" s="731"/>
      <c r="J47" s="731"/>
      <c r="K47" s="731"/>
      <c r="L47" s="731"/>
      <c r="M47" s="731"/>
    </row>
    <row r="48" spans="1:13">
      <c r="A48" s="77"/>
      <c r="B48" s="47"/>
      <c r="C48" s="47" t="s">
        <v>369</v>
      </c>
      <c r="D48" s="47"/>
      <c r="E48" s="397">
        <v>71</v>
      </c>
      <c r="F48" s="397"/>
      <c r="G48" s="397">
        <v>70</v>
      </c>
      <c r="H48" s="397"/>
      <c r="I48" s="397">
        <v>70</v>
      </c>
      <c r="J48" s="397"/>
      <c r="K48" s="397">
        <v>211</v>
      </c>
      <c r="L48" s="47"/>
      <c r="M48" s="47">
        <v>100</v>
      </c>
    </row>
    <row r="49" spans="1:13">
      <c r="A49" s="77"/>
      <c r="B49" s="47"/>
      <c r="C49" s="47" t="s">
        <v>381</v>
      </c>
      <c r="D49" s="47"/>
      <c r="E49" s="397">
        <v>69</v>
      </c>
      <c r="F49" s="397"/>
      <c r="G49" s="397">
        <v>54</v>
      </c>
      <c r="H49" s="397"/>
      <c r="I49" s="397">
        <v>57</v>
      </c>
      <c r="J49" s="397"/>
      <c r="K49" s="397">
        <v>180</v>
      </c>
      <c r="L49" s="47"/>
      <c r="M49" s="47">
        <v>23</v>
      </c>
    </row>
    <row r="50" spans="1:13">
      <c r="A50" s="77"/>
      <c r="B50" s="47"/>
      <c r="C50" s="47" t="s">
        <v>11</v>
      </c>
      <c r="D50" s="47"/>
      <c r="E50" s="397">
        <v>1</v>
      </c>
      <c r="F50" s="397"/>
      <c r="G50" s="397">
        <v>2</v>
      </c>
      <c r="H50" s="397"/>
      <c r="I50" s="397">
        <v>1</v>
      </c>
      <c r="J50" s="397"/>
      <c r="K50" s="397">
        <v>4</v>
      </c>
      <c r="L50" s="47"/>
      <c r="M50" s="47">
        <v>4</v>
      </c>
    </row>
    <row r="51" spans="1:13">
      <c r="A51" s="77"/>
      <c r="B51" s="47"/>
      <c r="C51" s="47" t="s">
        <v>371</v>
      </c>
      <c r="D51" s="47"/>
      <c r="E51" s="397">
        <v>188</v>
      </c>
      <c r="F51" s="397"/>
      <c r="G51" s="397">
        <v>0</v>
      </c>
      <c r="H51" s="397"/>
      <c r="I51" s="397">
        <v>0</v>
      </c>
      <c r="J51" s="397"/>
      <c r="K51" s="397">
        <v>188</v>
      </c>
      <c r="L51" s="47"/>
      <c r="M51" s="597">
        <v>0</v>
      </c>
    </row>
    <row r="52" spans="1:13" s="387" customFormat="1">
      <c r="A52" s="77"/>
      <c r="B52" s="47"/>
      <c r="C52" s="47" t="s">
        <v>424</v>
      </c>
      <c r="D52" s="47"/>
      <c r="E52" s="397">
        <v>23</v>
      </c>
      <c r="F52" s="397"/>
      <c r="G52" s="397">
        <v>0</v>
      </c>
      <c r="H52" s="397"/>
      <c r="I52" s="397">
        <v>0</v>
      </c>
      <c r="J52" s="397"/>
      <c r="K52" s="397">
        <v>23</v>
      </c>
      <c r="L52" s="47"/>
      <c r="M52" s="597"/>
    </row>
    <row r="53" spans="1:13" s="387" customFormat="1">
      <c r="A53" s="77"/>
      <c r="B53" s="47"/>
      <c r="C53" s="47" t="s">
        <v>23</v>
      </c>
      <c r="D53" s="47"/>
      <c r="E53" s="397">
        <v>8</v>
      </c>
      <c r="F53" s="397"/>
      <c r="G53" s="397">
        <v>8</v>
      </c>
      <c r="H53" s="397"/>
      <c r="I53" s="397">
        <v>8</v>
      </c>
      <c r="J53" s="397"/>
      <c r="K53" s="397">
        <v>24</v>
      </c>
      <c r="L53" s="47"/>
      <c r="M53" s="597"/>
    </row>
    <row r="54" spans="1:13" ht="12.75" thickBot="1">
      <c r="A54" s="77"/>
      <c r="B54" s="47"/>
      <c r="C54" s="47"/>
      <c r="D54" s="47"/>
      <c r="E54" s="608">
        <v>360</v>
      </c>
      <c r="F54" s="47"/>
      <c r="G54" s="608">
        <v>134</v>
      </c>
      <c r="H54" s="47"/>
      <c r="I54" s="608">
        <v>136</v>
      </c>
      <c r="J54" s="47"/>
      <c r="K54" s="608">
        <v>630</v>
      </c>
      <c r="L54" s="47"/>
      <c r="M54" s="608">
        <v>127</v>
      </c>
    </row>
    <row r="55" spans="1:13" ht="12.75" thickTop="1"/>
  </sheetData>
  <customSheetViews>
    <customSheetView guid="{84FBBE83-FF6F-4C76-A58E-D04643F715A5}" showPageBreaks="1" printArea="1" hiddenRows="1" view="pageBreakPreview" topLeftCell="A46">
      <selection activeCell="K26" sqref="K26"/>
      <pageMargins left="0.75" right="0.5" top="0.5" bottom="0.25" header="0.17" footer="0.42"/>
      <printOptions horizontalCentered="1"/>
      <pageSetup paperSize="9" fitToWidth="12" fitToHeight="12" orientation="portrait" r:id="rId1"/>
      <headerFooter alignWithMargins="0">
        <oddFooter>&amp;C8 of 11</oddFooter>
      </headerFooter>
    </customSheetView>
  </customSheetViews>
  <mergeCells count="10">
    <mergeCell ref="E47:M47"/>
    <mergeCell ref="E45:K45"/>
    <mergeCell ref="E28:M28"/>
    <mergeCell ref="G1:M1"/>
    <mergeCell ref="G3:M3"/>
    <mergeCell ref="G4:M4"/>
    <mergeCell ref="M25:M26"/>
    <mergeCell ref="E14:K15"/>
    <mergeCell ref="E17:M17"/>
    <mergeCell ref="E25:K26"/>
  </mergeCells>
  <phoneticPr fontId="7" type="noConversion"/>
  <printOptions horizontalCentered="1"/>
  <pageMargins left="0.75" right="0.5" top="0.5" bottom="0.25" header="0.17" footer="0.42"/>
  <pageSetup paperSize="9" scale="78" fitToWidth="12" fitToHeight="12" orientation="portrait" r:id="rId2"/>
  <headerFooter alignWithMargins="0">
    <oddFooter>&amp;C8 of 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view="pageBreakPreview" topLeftCell="A36" zoomScaleSheetLayoutView="100" workbookViewId="0">
      <selection activeCell="B80" sqref="B80"/>
    </sheetView>
  </sheetViews>
  <sheetFormatPr defaultRowHeight="12"/>
  <cols>
    <col min="1" max="1" width="4.625" style="171" customWidth="1"/>
    <col min="2" max="2" width="3.625" style="388" customWidth="1"/>
    <col min="3" max="3" width="29.125" style="388" customWidth="1"/>
    <col min="4" max="4" width="0.875" style="388" customWidth="1"/>
    <col min="5" max="5" width="9.625" style="388" customWidth="1"/>
    <col min="6" max="6" width="1.375" style="388" customWidth="1"/>
    <col min="7" max="7" width="7.5" style="388" customWidth="1"/>
    <col min="8" max="8" width="1" style="388" customWidth="1"/>
    <col min="9" max="9" width="9.625" style="388" customWidth="1"/>
    <col min="10" max="10" width="1.125" style="388" customWidth="1"/>
    <col min="11" max="11" width="9.625" style="388" customWidth="1"/>
    <col min="12" max="12" width="1" style="388" customWidth="1"/>
    <col min="13" max="13" width="9.625" style="392" customWidth="1"/>
    <col min="14" max="14" width="0.875" style="388" customWidth="1"/>
    <col min="15" max="15" width="9.625" style="392" customWidth="1"/>
    <col min="16" max="16" width="0.5" style="388" customWidth="1"/>
    <col min="17" max="17" width="9.625" style="392" customWidth="1"/>
    <col min="18" max="18" width="1" style="388" customWidth="1"/>
    <col min="19" max="19" width="9.625" style="392" customWidth="1"/>
    <col min="20" max="16384" width="9" style="388"/>
  </cols>
  <sheetData>
    <row r="1" spans="1:19" s="387" customFormat="1" ht="12" customHeight="1">
      <c r="A1" s="401">
        <v>7</v>
      </c>
      <c r="B1" s="384" t="s">
        <v>78</v>
      </c>
      <c r="C1" s="65"/>
      <c r="D1" s="65"/>
      <c r="E1" s="65"/>
      <c r="F1" s="65"/>
      <c r="G1" s="65"/>
      <c r="H1" s="65"/>
      <c r="I1" s="65"/>
      <c r="J1" s="65"/>
      <c r="K1" s="65"/>
      <c r="L1" s="65"/>
      <c r="M1" s="65"/>
      <c r="N1" s="65"/>
      <c r="O1" s="65"/>
      <c r="P1" s="65"/>
      <c r="Q1" s="287"/>
      <c r="R1" s="287"/>
    </row>
    <row r="2" spans="1:19" s="423" customFormat="1" ht="7.5" customHeight="1">
      <c r="C2" s="570"/>
      <c r="D2" s="570"/>
      <c r="E2" s="570"/>
      <c r="F2" s="570"/>
      <c r="G2" s="570"/>
      <c r="H2" s="570"/>
      <c r="I2" s="570"/>
      <c r="J2" s="570"/>
      <c r="K2" s="692" t="s">
        <v>328</v>
      </c>
      <c r="L2" s="693"/>
      <c r="M2" s="693"/>
      <c r="N2" s="693"/>
      <c r="O2" s="693"/>
      <c r="P2" s="693"/>
      <c r="Q2" s="694"/>
      <c r="R2" s="28"/>
      <c r="S2" s="578"/>
    </row>
    <row r="3" spans="1:19" s="423" customFormat="1" ht="10.5" customHeight="1">
      <c r="A3" s="77"/>
      <c r="B3" s="570"/>
      <c r="C3" s="570"/>
      <c r="D3" s="570"/>
      <c r="E3" s="570"/>
      <c r="F3" s="570"/>
      <c r="G3" s="570"/>
      <c r="H3" s="570"/>
      <c r="I3" s="570"/>
      <c r="J3" s="570"/>
      <c r="K3" s="695"/>
      <c r="L3" s="696"/>
      <c r="M3" s="696"/>
      <c r="N3" s="696"/>
      <c r="O3" s="696"/>
      <c r="P3" s="696"/>
      <c r="Q3" s="697"/>
      <c r="R3" s="28"/>
      <c r="S3" s="578" t="s">
        <v>142</v>
      </c>
    </row>
    <row r="4" spans="1:19" s="423" customFormat="1" ht="36">
      <c r="C4" s="570"/>
      <c r="D4" s="570"/>
      <c r="E4" s="570"/>
      <c r="F4" s="570"/>
      <c r="G4" s="570"/>
      <c r="H4" s="570"/>
      <c r="I4" s="570"/>
      <c r="J4" s="570"/>
      <c r="K4" s="539" t="s">
        <v>323</v>
      </c>
      <c r="L4" s="4"/>
      <c r="M4" s="539" t="s">
        <v>324</v>
      </c>
      <c r="N4" s="4"/>
      <c r="O4" s="540" t="s">
        <v>325</v>
      </c>
      <c r="P4" s="538"/>
      <c r="Q4" s="507" t="s">
        <v>215</v>
      </c>
      <c r="R4" s="596"/>
      <c r="S4" s="579" t="s">
        <v>329</v>
      </c>
    </row>
    <row r="5" spans="1:19" s="423" customFormat="1" ht="11.25" customHeight="1">
      <c r="A5" s="77"/>
      <c r="B5" s="570"/>
      <c r="C5" s="570"/>
      <c r="D5" s="570"/>
      <c r="E5" s="570"/>
      <c r="F5" s="570"/>
      <c r="G5" s="570"/>
      <c r="H5" s="570"/>
      <c r="I5" s="570"/>
      <c r="J5" s="570"/>
      <c r="K5" s="739" t="s">
        <v>373</v>
      </c>
      <c r="L5" s="740"/>
      <c r="M5" s="740"/>
      <c r="N5" s="740"/>
      <c r="O5" s="740"/>
      <c r="P5" s="740"/>
      <c r="Q5" s="740"/>
      <c r="R5" s="740"/>
      <c r="S5" s="740"/>
    </row>
    <row r="6" spans="1:19" s="423" customFormat="1" ht="3" customHeight="1">
      <c r="A6" s="77"/>
      <c r="B6" s="570"/>
      <c r="C6" s="570"/>
      <c r="D6" s="570"/>
      <c r="E6" s="570"/>
      <c r="F6" s="570"/>
      <c r="G6" s="570"/>
      <c r="H6" s="570"/>
      <c r="I6" s="570"/>
      <c r="J6" s="570"/>
      <c r="K6" s="570"/>
      <c r="L6" s="570"/>
      <c r="M6" s="390"/>
      <c r="N6" s="570"/>
      <c r="O6" s="390"/>
      <c r="P6" s="570"/>
      <c r="Q6" s="390"/>
      <c r="R6" s="570"/>
      <c r="S6" s="390"/>
    </row>
    <row r="7" spans="1:19" s="423" customFormat="1">
      <c r="A7" s="77"/>
      <c r="B7" s="610" t="s">
        <v>0</v>
      </c>
      <c r="C7" s="610"/>
      <c r="D7" s="610"/>
      <c r="E7" s="610"/>
      <c r="F7" s="610"/>
      <c r="G7" s="610"/>
      <c r="H7" s="610"/>
      <c r="I7" s="610"/>
      <c r="J7" s="610"/>
      <c r="K7" s="611">
        <v>10086979</v>
      </c>
      <c r="L7" s="611"/>
      <c r="M7" s="612">
        <v>7571026</v>
      </c>
      <c r="N7" s="612">
        <v>-249999.99976000001</v>
      </c>
      <c r="O7" s="612">
        <v>7853950</v>
      </c>
      <c r="P7" s="124"/>
      <c r="Q7" s="612">
        <v>25511955</v>
      </c>
      <c r="R7" s="124"/>
      <c r="S7" s="613">
        <v>0</v>
      </c>
    </row>
    <row r="8" spans="1:19" s="423" customFormat="1" ht="6" customHeight="1">
      <c r="A8" s="77"/>
      <c r="B8" s="610"/>
      <c r="C8" s="610"/>
      <c r="D8" s="610"/>
      <c r="E8" s="610"/>
      <c r="F8" s="610"/>
      <c r="G8" s="610"/>
      <c r="H8" s="610"/>
      <c r="I8" s="610"/>
      <c r="J8" s="610"/>
      <c r="K8" s="611"/>
      <c r="L8" s="611"/>
      <c r="M8" s="612"/>
      <c r="N8" s="612"/>
      <c r="O8" s="612"/>
      <c r="P8" s="124"/>
      <c r="Q8" s="612"/>
      <c r="R8" s="124"/>
      <c r="S8" s="613"/>
    </row>
    <row r="9" spans="1:19" s="423" customFormat="1" ht="21.75" customHeight="1">
      <c r="A9" s="77"/>
      <c r="B9" s="610" t="s">
        <v>372</v>
      </c>
      <c r="C9" s="610"/>
      <c r="D9" s="610"/>
      <c r="E9" s="610"/>
      <c r="F9" s="610"/>
      <c r="G9" s="610"/>
      <c r="H9" s="610"/>
      <c r="I9" s="610"/>
      <c r="J9" s="610"/>
      <c r="K9" s="611">
        <v>393459</v>
      </c>
      <c r="L9" s="611"/>
      <c r="M9" s="612">
        <v>222338</v>
      </c>
      <c r="N9" s="612"/>
      <c r="O9" s="612">
        <v>326272</v>
      </c>
      <c r="P9" s="124"/>
      <c r="Q9" s="612">
        <v>942069</v>
      </c>
      <c r="R9" s="124"/>
      <c r="S9" s="613">
        <v>25511955</v>
      </c>
    </row>
    <row r="10" spans="1:19" s="423" customFormat="1" ht="12.75" thickBot="1">
      <c r="A10" s="77"/>
      <c r="B10" s="614"/>
      <c r="C10" s="614"/>
      <c r="D10" s="614"/>
      <c r="E10" s="614"/>
      <c r="F10" s="614"/>
      <c r="G10" s="614"/>
      <c r="H10" s="614"/>
      <c r="I10" s="614"/>
      <c r="J10" s="614"/>
      <c r="K10" s="616">
        <v>10480438</v>
      </c>
      <c r="L10" s="614"/>
      <c r="M10" s="616">
        <v>7793364</v>
      </c>
      <c r="N10" s="615"/>
      <c r="O10" s="616">
        <v>8180222</v>
      </c>
      <c r="P10" s="570"/>
      <c r="Q10" s="616">
        <v>26454024</v>
      </c>
      <c r="R10" s="570"/>
      <c r="S10" s="616">
        <v>25511955</v>
      </c>
    </row>
    <row r="11" spans="1:19" ht="5.25" customHeight="1" thickTop="1">
      <c r="K11" s="392"/>
    </row>
    <row r="12" spans="1:19">
      <c r="A12" s="401">
        <v>8</v>
      </c>
      <c r="B12" s="384" t="s">
        <v>377</v>
      </c>
      <c r="C12" s="65"/>
      <c r="D12" s="65"/>
      <c r="E12" s="65"/>
      <c r="F12" s="65"/>
      <c r="G12" s="65"/>
      <c r="H12" s="65"/>
      <c r="I12" s="65"/>
      <c r="J12" s="65"/>
      <c r="K12" s="65"/>
      <c r="L12" s="65"/>
      <c r="M12" s="65"/>
      <c r="N12" s="65"/>
      <c r="O12" s="65"/>
      <c r="P12" s="65"/>
      <c r="Q12" s="287"/>
      <c r="R12" s="287"/>
      <c r="S12" s="387"/>
    </row>
    <row r="13" spans="1:19" ht="5.25" customHeight="1">
      <c r="A13" s="423"/>
      <c r="B13" s="423"/>
      <c r="C13" s="570"/>
      <c r="D13" s="570"/>
      <c r="E13" s="570"/>
      <c r="F13" s="570"/>
      <c r="G13" s="570"/>
      <c r="H13" s="570"/>
      <c r="I13" s="570"/>
      <c r="J13" s="570"/>
      <c r="K13" s="27"/>
      <c r="L13" s="27"/>
      <c r="M13" s="692" t="s">
        <v>328</v>
      </c>
      <c r="N13" s="693"/>
      <c r="O13" s="693"/>
      <c r="P13" s="693"/>
      <c r="Q13" s="693"/>
      <c r="R13" s="693"/>
      <c r="S13" s="694"/>
    </row>
    <row r="14" spans="1:19">
      <c r="A14" s="77"/>
      <c r="B14" s="570"/>
      <c r="C14" s="570"/>
      <c r="D14" s="570"/>
      <c r="E14" s="570"/>
      <c r="F14" s="570"/>
      <c r="G14" s="570"/>
      <c r="H14" s="570"/>
      <c r="I14" s="570"/>
      <c r="J14" s="570"/>
      <c r="K14" s="27"/>
      <c r="L14" s="27"/>
      <c r="M14" s="695"/>
      <c r="N14" s="696"/>
      <c r="O14" s="696"/>
      <c r="P14" s="696"/>
      <c r="Q14" s="696"/>
      <c r="R14" s="696"/>
      <c r="S14" s="697"/>
    </row>
    <row r="15" spans="1:19" ht="36">
      <c r="A15" s="423"/>
      <c r="B15" s="423"/>
      <c r="C15" s="570"/>
      <c r="D15" s="570"/>
      <c r="E15" s="570"/>
      <c r="F15" s="570"/>
      <c r="G15" s="570"/>
      <c r="H15" s="570"/>
      <c r="I15" s="570"/>
      <c r="J15" s="570"/>
      <c r="K15" s="538"/>
      <c r="L15" s="29"/>
      <c r="M15" s="494" t="s">
        <v>323</v>
      </c>
      <c r="N15" s="4"/>
      <c r="O15" s="539" t="s">
        <v>324</v>
      </c>
      <c r="P15" s="4"/>
      <c r="Q15" s="540" t="s">
        <v>325</v>
      </c>
      <c r="R15" s="538"/>
      <c r="S15" s="507" t="s">
        <v>215</v>
      </c>
    </row>
    <row r="16" spans="1:19" ht="6" customHeight="1"/>
    <row r="17" spans="1:19" ht="15" customHeight="1">
      <c r="B17" s="388" t="s">
        <v>374</v>
      </c>
      <c r="K17" s="38"/>
      <c r="L17" s="38"/>
      <c r="M17" s="38">
        <v>760.02700000000004</v>
      </c>
      <c r="N17" s="38"/>
      <c r="O17" s="38">
        <v>510.42500000000007</v>
      </c>
      <c r="Q17" s="392">
        <v>476.25699999999995</v>
      </c>
      <c r="S17" s="392">
        <v>1746.7090000000003</v>
      </c>
    </row>
    <row r="18" spans="1:19" ht="5.25" customHeight="1">
      <c r="K18" s="38"/>
      <c r="L18" s="38"/>
      <c r="M18" s="38"/>
      <c r="N18" s="38"/>
      <c r="O18" s="38"/>
    </row>
    <row r="19" spans="1:19" ht="10.5" customHeight="1">
      <c r="M19" s="640" t="s">
        <v>378</v>
      </c>
      <c r="N19" s="641"/>
      <c r="O19" s="641"/>
      <c r="P19" s="641"/>
      <c r="Q19" s="641"/>
    </row>
    <row r="20" spans="1:19" ht="16.5" customHeight="1">
      <c r="B20" s="388" t="s">
        <v>375</v>
      </c>
      <c r="M20" s="392">
        <v>2592776.0499167624</v>
      </c>
      <c r="O20" s="392">
        <v>1938357.7579077485</v>
      </c>
      <c r="Q20" s="392">
        <v>2018826.1530032654</v>
      </c>
    </row>
    <row r="21" spans="1:19" ht="6.75" customHeight="1"/>
    <row r="22" spans="1:19" ht="12.75" thickBot="1">
      <c r="B22" s="388" t="s">
        <v>376</v>
      </c>
      <c r="M22" s="642">
        <v>0.2931325287521071</v>
      </c>
      <c r="O22" s="642">
        <v>0.26332858210392995</v>
      </c>
      <c r="Q22" s="642">
        <v>0.23590788106816726</v>
      </c>
    </row>
    <row r="23" spans="1:19" ht="6" customHeight="1" thickTop="1"/>
    <row r="24" spans="1:19" ht="12" customHeight="1">
      <c r="A24" s="401">
        <v>9</v>
      </c>
      <c r="B24" s="384" t="s">
        <v>379</v>
      </c>
      <c r="C24" s="65"/>
    </row>
    <row r="25" spans="1:19">
      <c r="B25" s="388" t="s">
        <v>382</v>
      </c>
    </row>
    <row r="26" spans="1:19">
      <c r="E26" s="743" t="s">
        <v>383</v>
      </c>
      <c r="F26" s="744"/>
      <c r="G26" s="744"/>
      <c r="H26" s="744"/>
      <c r="I26" s="744"/>
      <c r="J26" s="744"/>
      <c r="K26" s="744"/>
      <c r="L26" s="744"/>
      <c r="M26" s="744"/>
      <c r="N26" s="744"/>
      <c r="O26" s="744"/>
      <c r="P26" s="744"/>
      <c r="Q26" s="744"/>
      <c r="R26" s="744"/>
      <c r="S26" s="744"/>
    </row>
    <row r="27" spans="1:19">
      <c r="A27" s="388"/>
      <c r="D27" s="65"/>
      <c r="E27" s="742" t="s">
        <v>323</v>
      </c>
      <c r="F27" s="742"/>
      <c r="G27" s="742"/>
      <c r="H27" s="619"/>
      <c r="I27" s="742" t="s">
        <v>324</v>
      </c>
      <c r="J27" s="742"/>
      <c r="K27" s="742"/>
      <c r="L27" s="620"/>
      <c r="M27" s="741" t="s">
        <v>380</v>
      </c>
      <c r="N27" s="741"/>
      <c r="O27" s="741"/>
      <c r="P27" s="620"/>
      <c r="Q27" s="741" t="s">
        <v>215</v>
      </c>
      <c r="R27" s="741"/>
      <c r="S27" s="741"/>
    </row>
    <row r="28" spans="1:19">
      <c r="E28" s="536" t="s">
        <v>384</v>
      </c>
      <c r="F28" s="66"/>
      <c r="G28" s="536" t="s">
        <v>385</v>
      </c>
      <c r="H28" s="66"/>
      <c r="I28" s="536" t="s">
        <v>384</v>
      </c>
      <c r="J28" s="66"/>
      <c r="K28" s="536" t="s">
        <v>385</v>
      </c>
      <c r="L28" s="66"/>
      <c r="M28" s="536" t="s">
        <v>384</v>
      </c>
      <c r="N28" s="66"/>
      <c r="O28" s="536" t="s">
        <v>385</v>
      </c>
      <c r="P28" s="66"/>
      <c r="Q28" s="536" t="s">
        <v>384</v>
      </c>
      <c r="R28" s="66"/>
      <c r="S28" s="536" t="s">
        <v>385</v>
      </c>
    </row>
    <row r="30" spans="1:19">
      <c r="C30" s="388" t="s">
        <v>312</v>
      </c>
      <c r="E30" s="38">
        <v>393458.66687614762</v>
      </c>
      <c r="F30" s="38"/>
      <c r="G30" s="38">
        <v>3936.9690000000001</v>
      </c>
      <c r="H30" s="38"/>
      <c r="I30" s="38">
        <v>222340.01891064324</v>
      </c>
      <c r="J30" s="38"/>
      <c r="K30" s="38">
        <v>2233</v>
      </c>
      <c r="L30" s="38"/>
      <c r="M30" s="38">
        <v>326273.35459488869</v>
      </c>
      <c r="N30" s="38"/>
      <c r="O30" s="38">
        <v>3278.3</v>
      </c>
      <c r="P30" s="38"/>
      <c r="Q30" s="38">
        <v>942072.04038167954</v>
      </c>
      <c r="R30" s="38"/>
      <c r="S30" s="38">
        <v>9448.2690000000002</v>
      </c>
    </row>
    <row r="31" spans="1:19" ht="6" customHeight="1"/>
    <row r="32" spans="1:19" ht="12.75" thickBot="1">
      <c r="E32" s="639">
        <v>393458.66687614762</v>
      </c>
      <c r="G32" s="639">
        <v>3936.9690000000001</v>
      </c>
      <c r="I32" s="639">
        <v>222340.01891064324</v>
      </c>
      <c r="K32" s="639">
        <v>2233</v>
      </c>
      <c r="M32" s="639">
        <v>326273.35459488869</v>
      </c>
      <c r="O32" s="639">
        <v>3278.3</v>
      </c>
      <c r="Q32" s="639">
        <v>942072.04038167954</v>
      </c>
      <c r="S32" s="639">
        <v>9448.2690000000002</v>
      </c>
    </row>
    <row r="33" spans="1:19" ht="5.25" customHeight="1" thickTop="1"/>
    <row r="34" spans="1:19" ht="17.25" customHeight="1">
      <c r="A34" s="627">
        <v>10</v>
      </c>
      <c r="B34" s="626" t="s">
        <v>13</v>
      </c>
    </row>
    <row r="35" spans="1:19" ht="12" customHeight="1">
      <c r="A35" s="621"/>
      <c r="B35" s="78" t="s">
        <v>1</v>
      </c>
      <c r="C35" s="279"/>
      <c r="D35" s="279"/>
      <c r="E35" s="279"/>
      <c r="F35" s="279"/>
      <c r="G35" s="279"/>
      <c r="H35" s="279"/>
      <c r="I35" s="279"/>
      <c r="J35" s="279"/>
      <c r="K35" s="279"/>
    </row>
    <row r="36" spans="1:19">
      <c r="M36" s="388"/>
      <c r="O36" s="388"/>
      <c r="Q36" s="388"/>
      <c r="S36" s="388"/>
    </row>
    <row r="37" spans="1:19" ht="7.5" customHeight="1">
      <c r="M37" s="692" t="s">
        <v>328</v>
      </c>
      <c r="N37" s="693"/>
      <c r="O37" s="693"/>
      <c r="P37" s="693"/>
      <c r="Q37" s="693"/>
      <c r="R37" s="693"/>
      <c r="S37" s="694"/>
    </row>
    <row r="38" spans="1:19" ht="6.75" customHeight="1">
      <c r="M38" s="695"/>
      <c r="N38" s="696"/>
      <c r="O38" s="696"/>
      <c r="P38" s="696"/>
      <c r="Q38" s="696"/>
      <c r="R38" s="696"/>
      <c r="S38" s="697"/>
    </row>
    <row r="39" spans="1:19" ht="36">
      <c r="M39" s="494" t="s">
        <v>323</v>
      </c>
      <c r="N39" s="4"/>
      <c r="O39" s="539" t="s">
        <v>324</v>
      </c>
      <c r="P39" s="4"/>
      <c r="Q39" s="540" t="s">
        <v>325</v>
      </c>
      <c r="R39" s="538"/>
      <c r="S39" s="507" t="s">
        <v>215</v>
      </c>
    </row>
    <row r="40" spans="1:19" ht="12" customHeight="1">
      <c r="A40" s="617">
        <v>10.1</v>
      </c>
      <c r="B40" s="66" t="s">
        <v>112</v>
      </c>
      <c r="M40" s="622" t="s">
        <v>386</v>
      </c>
      <c r="N40" s="622"/>
      <c r="O40" s="37"/>
      <c r="P40" s="37"/>
      <c r="Q40" s="37"/>
      <c r="R40" s="37"/>
      <c r="S40" s="37"/>
    </row>
    <row r="41" spans="1:19" ht="18.75" customHeight="1">
      <c r="B41" s="286" t="s">
        <v>387</v>
      </c>
    </row>
    <row r="42" spans="1:19">
      <c r="B42" s="388" t="s">
        <v>80</v>
      </c>
      <c r="M42" s="392">
        <v>385.68799999999999</v>
      </c>
      <c r="O42" s="392">
        <v>292.09500000000003</v>
      </c>
      <c r="Q42" s="392">
        <v>303.589</v>
      </c>
      <c r="S42" s="392">
        <v>981.37200000000007</v>
      </c>
    </row>
    <row r="43" spans="1:19" ht="14.25" customHeight="1">
      <c r="B43" s="388" t="s">
        <v>388</v>
      </c>
      <c r="M43" s="392">
        <v>62.646999999999998</v>
      </c>
      <c r="O43" s="392">
        <v>47.438000000000002</v>
      </c>
      <c r="Q43" s="392">
        <v>49.3</v>
      </c>
      <c r="S43" s="392">
        <v>159.38499999999999</v>
      </c>
    </row>
    <row r="45" spans="1:19">
      <c r="B45" s="66" t="s">
        <v>389</v>
      </c>
    </row>
    <row r="46" spans="1:19">
      <c r="B46" s="388" t="s">
        <v>390</v>
      </c>
      <c r="M46" s="392">
        <v>43.37</v>
      </c>
      <c r="O46" s="392">
        <v>32.893000000000001</v>
      </c>
      <c r="Q46" s="392">
        <v>34.15</v>
      </c>
      <c r="S46" s="392">
        <v>110.41300000000001</v>
      </c>
    </row>
    <row r="47" spans="1:19">
      <c r="B47" s="388" t="s">
        <v>391</v>
      </c>
      <c r="M47" s="392">
        <v>5.8380000000000001</v>
      </c>
      <c r="O47" s="392">
        <v>1.64</v>
      </c>
      <c r="Q47" s="392">
        <v>0</v>
      </c>
      <c r="S47" s="392">
        <v>7.4779999999999998</v>
      </c>
    </row>
    <row r="49" spans="2:19" hidden="1">
      <c r="B49" s="66" t="s">
        <v>392</v>
      </c>
    </row>
    <row r="50" spans="2:19" ht="12.75" hidden="1" thickBot="1">
      <c r="B50" s="388" t="s">
        <v>43</v>
      </c>
      <c r="K50" s="396" t="s">
        <v>414</v>
      </c>
      <c r="M50" s="637"/>
      <c r="O50" s="637"/>
      <c r="Q50" s="637"/>
      <c r="S50" s="637">
        <v>0</v>
      </c>
    </row>
    <row r="51" spans="2:19" hidden="1">
      <c r="I51" s="396"/>
      <c r="K51" s="638"/>
      <c r="M51" s="638"/>
      <c r="O51" s="638"/>
      <c r="Q51" s="638"/>
    </row>
    <row r="52" spans="2:19" hidden="1">
      <c r="I52" s="396"/>
      <c r="K52" s="638"/>
      <c r="M52" s="622" t="s">
        <v>386</v>
      </c>
      <c r="O52" s="638"/>
      <c r="Q52" s="638"/>
    </row>
    <row r="53" spans="2:19" ht="12.75" hidden="1" thickBot="1">
      <c r="B53" s="388" t="s">
        <v>418</v>
      </c>
      <c r="I53" s="396"/>
      <c r="K53" s="638"/>
      <c r="M53" s="637"/>
      <c r="O53" s="637"/>
      <c r="Q53" s="637"/>
    </row>
    <row r="54" spans="2:19">
      <c r="I54" s="396"/>
      <c r="K54" s="638"/>
      <c r="M54" s="638"/>
      <c r="O54" s="638"/>
      <c r="Q54" s="638"/>
    </row>
    <row r="55" spans="2:19">
      <c r="K55" s="692" t="s">
        <v>328</v>
      </c>
      <c r="L55" s="693"/>
      <c r="M55" s="693"/>
      <c r="N55" s="693"/>
      <c r="O55" s="693"/>
      <c r="P55" s="693"/>
      <c r="Q55" s="694"/>
    </row>
    <row r="56" spans="2:19">
      <c r="K56" s="695"/>
      <c r="L56" s="696"/>
      <c r="M56" s="696"/>
      <c r="N56" s="696"/>
      <c r="O56" s="696"/>
      <c r="P56" s="696"/>
      <c r="Q56" s="697"/>
      <c r="S56" s="578" t="s">
        <v>142</v>
      </c>
    </row>
    <row r="57" spans="2:19" ht="36">
      <c r="K57" s="494" t="s">
        <v>323</v>
      </c>
      <c r="L57" s="4"/>
      <c r="M57" s="539" t="s">
        <v>324</v>
      </c>
      <c r="N57" s="4"/>
      <c r="O57" s="540" t="s">
        <v>325</v>
      </c>
      <c r="P57" s="538"/>
      <c r="Q57" s="507" t="s">
        <v>215</v>
      </c>
      <c r="S57" s="579" t="s">
        <v>329</v>
      </c>
    </row>
    <row r="58" spans="2:19">
      <c r="B58" s="66" t="s">
        <v>393</v>
      </c>
      <c r="K58" s="739" t="s">
        <v>394</v>
      </c>
      <c r="L58" s="740"/>
      <c r="M58" s="740"/>
      <c r="N58" s="740"/>
      <c r="O58" s="740"/>
      <c r="P58" s="740"/>
      <c r="Q58" s="740"/>
      <c r="R58" s="740"/>
      <c r="S58" s="740"/>
    </row>
    <row r="59" spans="2:19">
      <c r="B59" s="286" t="s">
        <v>387</v>
      </c>
    </row>
    <row r="60" spans="2:19" ht="12.75" thickBot="1">
      <c r="B60" s="369" t="s">
        <v>395</v>
      </c>
      <c r="I60" s="396" t="s">
        <v>414</v>
      </c>
      <c r="K60" s="637">
        <v>7500000</v>
      </c>
      <c r="M60" s="637">
        <v>7500000</v>
      </c>
      <c r="O60" s="637">
        <v>7500000</v>
      </c>
      <c r="Q60" s="637">
        <v>22500000</v>
      </c>
      <c r="S60" s="618">
        <v>22500000</v>
      </c>
    </row>
    <row r="61" spans="2:19" ht="12.75" thickTop="1">
      <c r="B61" s="369"/>
    </row>
    <row r="62" spans="2:19">
      <c r="B62" s="369" t="s">
        <v>413</v>
      </c>
      <c r="K62" s="38">
        <v>70310.27825986316</v>
      </c>
      <c r="M62" s="38">
        <v>75578.723870946153</v>
      </c>
      <c r="O62" s="38">
        <v>75527.903659731732</v>
      </c>
      <c r="Q62" s="38">
        <v>221416.90579054103</v>
      </c>
      <c r="S62" s="392">
        <v>225190</v>
      </c>
    </row>
    <row r="63" spans="2:19">
      <c r="B63" s="388" t="s">
        <v>80</v>
      </c>
      <c r="K63" s="38">
        <v>123.047</v>
      </c>
      <c r="L63" s="38"/>
      <c r="M63" s="38">
        <v>96.015000000000001</v>
      </c>
      <c r="N63" s="38"/>
      <c r="O63" s="38">
        <v>100.566</v>
      </c>
      <c r="P63" s="38"/>
      <c r="Q63" s="38">
        <v>319.62800000000004</v>
      </c>
      <c r="S63" s="38">
        <v>141</v>
      </c>
    </row>
    <row r="64" spans="2:19">
      <c r="B64" s="388" t="s">
        <v>388</v>
      </c>
      <c r="K64" s="38">
        <v>19.983000000000001</v>
      </c>
      <c r="M64" s="38">
        <v>15.593</v>
      </c>
      <c r="O64" s="38">
        <v>16.332000000000001</v>
      </c>
      <c r="Q64" s="38">
        <v>51.908000000000001</v>
      </c>
      <c r="S64" s="38">
        <v>25</v>
      </c>
    </row>
    <row r="65" spans="1:19">
      <c r="B65" s="388" t="s">
        <v>415</v>
      </c>
      <c r="K65" s="38">
        <v>80.832999999999998</v>
      </c>
      <c r="M65" s="38">
        <v>80.832999999999998</v>
      </c>
      <c r="O65" s="38">
        <v>80.832999999999998</v>
      </c>
      <c r="Q65" s="38">
        <v>242.499</v>
      </c>
      <c r="S65" s="38">
        <v>242</v>
      </c>
    </row>
    <row r="66" spans="1:19">
      <c r="B66" s="388" t="s">
        <v>416</v>
      </c>
      <c r="K66" s="38">
        <v>2600</v>
      </c>
      <c r="M66" s="38">
        <v>100</v>
      </c>
      <c r="O66" s="38">
        <v>0</v>
      </c>
      <c r="Q66" s="38">
        <v>2700</v>
      </c>
      <c r="S66" s="38">
        <v>2700</v>
      </c>
    </row>
    <row r="67" spans="1:19">
      <c r="B67" s="388" t="s">
        <v>417</v>
      </c>
      <c r="K67" s="38">
        <v>25</v>
      </c>
      <c r="M67" s="38">
        <v>25</v>
      </c>
      <c r="O67" s="38">
        <v>20</v>
      </c>
      <c r="Q67" s="38">
        <v>70</v>
      </c>
      <c r="S67" s="38">
        <v>70</v>
      </c>
    </row>
    <row r="69" spans="1:19">
      <c r="B69" s="66" t="s">
        <v>389</v>
      </c>
    </row>
    <row r="70" spans="1:19">
      <c r="B70" s="388" t="s">
        <v>396</v>
      </c>
      <c r="K70" s="38">
        <v>14.026999999999999</v>
      </c>
      <c r="M70" s="38">
        <v>10.945</v>
      </c>
      <c r="O70" s="38">
        <v>11.464</v>
      </c>
      <c r="Q70" s="38">
        <v>36.436</v>
      </c>
      <c r="S70" s="38">
        <v>16</v>
      </c>
    </row>
    <row r="71" spans="1:19" ht="3.75" customHeight="1"/>
    <row r="72" spans="1:19">
      <c r="B72" s="66" t="s">
        <v>392</v>
      </c>
    </row>
    <row r="73" spans="1:19" ht="12.75" thickBot="1">
      <c r="B73" s="388" t="s">
        <v>395</v>
      </c>
      <c r="I73" s="396" t="s">
        <v>414</v>
      </c>
      <c r="K73" s="103">
        <v>374863</v>
      </c>
      <c r="L73" s="80"/>
      <c r="M73" s="103">
        <v>20985</v>
      </c>
      <c r="N73" s="80"/>
      <c r="O73" s="103">
        <v>385771</v>
      </c>
      <c r="P73" s="80"/>
      <c r="Q73" s="103">
        <v>781619</v>
      </c>
      <c r="S73" s="618">
        <v>748619</v>
      </c>
    </row>
    <row r="74" spans="1:19" ht="12.75" thickTop="1">
      <c r="I74" s="396"/>
      <c r="K74" s="638"/>
      <c r="M74" s="638"/>
      <c r="O74" s="638"/>
      <c r="Q74" s="638"/>
      <c r="S74" s="593"/>
    </row>
    <row r="75" spans="1:19">
      <c r="K75" s="739" t="s">
        <v>419</v>
      </c>
      <c r="L75" s="740"/>
      <c r="M75" s="740"/>
      <c r="N75" s="740"/>
      <c r="O75" s="740"/>
      <c r="P75" s="740"/>
      <c r="Q75" s="740"/>
      <c r="R75" s="740"/>
      <c r="S75" s="740"/>
    </row>
    <row r="76" spans="1:19" ht="12.75" thickBot="1">
      <c r="B76" s="369" t="s">
        <v>413</v>
      </c>
      <c r="K76" s="637">
        <v>3514.2295785769438</v>
      </c>
      <c r="M76" s="637">
        <v>211.46926939090739</v>
      </c>
      <c r="O76" s="637">
        <v>3884.8633230291157</v>
      </c>
      <c r="Q76" s="637">
        <v>7610.5621709969673</v>
      </c>
      <c r="S76" s="637">
        <v>7492</v>
      </c>
    </row>
    <row r="77" spans="1:19" ht="7.5" customHeight="1" thickTop="1"/>
    <row r="78" spans="1:19">
      <c r="A78" s="621">
        <v>11</v>
      </c>
      <c r="B78" s="62" t="s">
        <v>89</v>
      </c>
    </row>
    <row r="79" spans="1:19" ht="15.75">
      <c r="B79" s="78" t="s">
        <v>487</v>
      </c>
      <c r="C79" s="591"/>
      <c r="D79" s="591"/>
      <c r="E79" s="591"/>
      <c r="F79" s="591"/>
      <c r="G79" s="591"/>
      <c r="H79" s="591"/>
      <c r="I79" s="591"/>
      <c r="J79" s="591"/>
      <c r="K79" s="591"/>
    </row>
    <row r="80" spans="1:19" ht="4.5" customHeight="1">
      <c r="B80" s="591"/>
      <c r="C80" s="591"/>
      <c r="D80" s="591"/>
      <c r="E80" s="591"/>
      <c r="F80" s="591"/>
      <c r="G80" s="591"/>
      <c r="H80" s="591"/>
      <c r="I80" s="591"/>
      <c r="J80" s="591"/>
      <c r="K80" s="591"/>
    </row>
    <row r="81" spans="1:19">
      <c r="A81" s="621">
        <v>12</v>
      </c>
      <c r="B81" s="58" t="s">
        <v>115</v>
      </c>
    </row>
    <row r="82" spans="1:19">
      <c r="B82" s="420" t="s">
        <v>236</v>
      </c>
    </row>
    <row r="83" spans="1:19" ht="2.25" customHeight="1"/>
    <row r="85" spans="1:19">
      <c r="A85" s="713" t="s">
        <v>397</v>
      </c>
      <c r="B85" s="713"/>
      <c r="C85" s="713"/>
      <c r="D85" s="713"/>
      <c r="E85" s="713"/>
      <c r="F85" s="713"/>
      <c r="G85" s="713"/>
      <c r="H85" s="713"/>
      <c r="I85" s="713"/>
      <c r="J85" s="713"/>
      <c r="K85" s="713"/>
      <c r="L85" s="713"/>
      <c r="M85" s="713"/>
      <c r="N85" s="713"/>
      <c r="O85" s="713"/>
      <c r="P85" s="713"/>
      <c r="Q85" s="713"/>
      <c r="R85" s="713"/>
      <c r="S85" s="713"/>
    </row>
    <row r="86" spans="1:19">
      <c r="A86" s="713" t="s">
        <v>398</v>
      </c>
      <c r="B86" s="713"/>
      <c r="C86" s="713"/>
      <c r="D86" s="713"/>
      <c r="E86" s="713"/>
      <c r="F86" s="713"/>
      <c r="G86" s="713"/>
      <c r="H86" s="713"/>
      <c r="I86" s="713"/>
      <c r="J86" s="713"/>
      <c r="K86" s="713"/>
      <c r="L86" s="713"/>
      <c r="M86" s="713"/>
      <c r="N86" s="713"/>
      <c r="O86" s="713"/>
      <c r="P86" s="713"/>
      <c r="Q86" s="713"/>
      <c r="R86" s="713"/>
      <c r="S86" s="713"/>
    </row>
    <row r="87" spans="1:19">
      <c r="A87" s="51"/>
      <c r="B87" s="26"/>
      <c r="C87" s="26"/>
      <c r="D87" s="3"/>
      <c r="E87" s="3"/>
      <c r="F87" s="3"/>
      <c r="G87" s="3"/>
      <c r="H87" s="3"/>
      <c r="I87" s="3"/>
      <c r="J87" s="3"/>
      <c r="K87" s="3"/>
    </row>
    <row r="88" spans="1:19">
      <c r="A88" s="51"/>
      <c r="B88" s="26"/>
      <c r="C88" s="26"/>
      <c r="D88" s="3"/>
      <c r="E88" s="3"/>
      <c r="F88" s="3"/>
      <c r="G88" s="3"/>
      <c r="H88" s="3"/>
      <c r="I88" s="3"/>
      <c r="J88" s="3"/>
      <c r="K88" s="3"/>
    </row>
    <row r="89" spans="1:19">
      <c r="A89" s="51"/>
      <c r="B89" s="4"/>
      <c r="C89" s="4"/>
      <c r="D89" s="4"/>
      <c r="E89" s="4"/>
      <c r="F89" s="4"/>
      <c r="G89" s="4"/>
      <c r="H89" s="4"/>
      <c r="I89" s="4"/>
      <c r="J89" s="4"/>
      <c r="K89" s="4"/>
    </row>
    <row r="90" spans="1:19">
      <c r="A90" s="237" t="s">
        <v>486</v>
      </c>
      <c r="B90" s="27"/>
      <c r="C90" s="27"/>
      <c r="D90" s="27"/>
      <c r="E90" s="28"/>
      <c r="F90" s="27"/>
      <c r="G90" s="27"/>
      <c r="H90" s="27"/>
      <c r="I90" s="27"/>
      <c r="J90" s="27"/>
      <c r="K90" s="27"/>
    </row>
    <row r="91" spans="1:19">
      <c r="A91" s="419" t="s">
        <v>399</v>
      </c>
      <c r="B91" s="4"/>
      <c r="C91" s="4"/>
      <c r="D91" s="4"/>
      <c r="E91" s="5"/>
      <c r="F91" s="6"/>
      <c r="G91" s="6"/>
      <c r="H91" s="6"/>
      <c r="I91" s="6"/>
      <c r="J91" s="6"/>
      <c r="K91" s="6"/>
    </row>
  </sheetData>
  <mergeCells count="14">
    <mergeCell ref="K2:Q3"/>
    <mergeCell ref="K5:S5"/>
    <mergeCell ref="A85:S85"/>
    <mergeCell ref="A86:S86"/>
    <mergeCell ref="K75:S75"/>
    <mergeCell ref="M13:S14"/>
    <mergeCell ref="Q27:S27"/>
    <mergeCell ref="M27:O27"/>
    <mergeCell ref="I27:K27"/>
    <mergeCell ref="E27:G27"/>
    <mergeCell ref="E26:S26"/>
    <mergeCell ref="M37:S38"/>
    <mergeCell ref="K55:Q56"/>
    <mergeCell ref="K58:S58"/>
  </mergeCells>
  <printOptions horizontalCentered="1"/>
  <pageMargins left="0.75" right="0.5" top="0.5" bottom="0.25" header="0.5" footer="0.5"/>
  <pageSetup paperSize="9" scale="70" orientation="portrait" r:id="rId1"/>
  <headerFooter alignWithMargins="0">
    <oddFooter>&amp;C9 of 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GX97"/>
  <sheetViews>
    <sheetView view="pageBreakPreview" zoomScaleSheetLayoutView="100" workbookViewId="0">
      <selection activeCell="K66" sqref="K66"/>
    </sheetView>
  </sheetViews>
  <sheetFormatPr defaultRowHeight="12"/>
  <cols>
    <col min="1" max="1" width="44.625" style="25" customWidth="1"/>
    <col min="2" max="2" width="0.75" style="35" customWidth="1"/>
    <col min="3" max="3" width="11.875" style="35" hidden="1" customWidth="1"/>
    <col min="4" max="4" width="0.75" style="35" hidden="1" customWidth="1"/>
    <col min="5" max="5" width="12.625" style="35" hidden="1" customWidth="1"/>
    <col min="6" max="6" width="13.375" style="38" customWidth="1"/>
    <col min="7" max="7" width="0.625" style="25" customWidth="1"/>
    <col min="8" max="8" width="12.875" style="25" customWidth="1"/>
    <col min="9" max="9" width="0.625" style="25" customWidth="1"/>
    <col min="10" max="10" width="12.5" style="25" customWidth="1"/>
    <col min="11" max="11" width="0.875" style="25" customWidth="1"/>
    <col min="12" max="12" width="9" style="25"/>
    <col min="13" max="13" width="11.875" style="25" bestFit="1" customWidth="1"/>
    <col min="14" max="14" width="9.125" style="25" bestFit="1" customWidth="1"/>
    <col min="15" max="16384" width="9" style="25"/>
  </cols>
  <sheetData>
    <row r="1" spans="1:14">
      <c r="A1" s="2" t="s">
        <v>266</v>
      </c>
      <c r="B1" s="2"/>
      <c r="C1" s="2"/>
      <c r="D1" s="2"/>
      <c r="E1" s="2"/>
      <c r="F1" s="2"/>
      <c r="G1" s="2"/>
    </row>
    <row r="2" spans="1:14">
      <c r="A2" s="46" t="s">
        <v>232</v>
      </c>
      <c r="B2" s="54"/>
      <c r="C2" s="54"/>
      <c r="D2" s="54"/>
      <c r="E2" s="54"/>
      <c r="F2" s="182"/>
      <c r="G2" s="34"/>
    </row>
    <row r="3" spans="1:14" hidden="1">
      <c r="A3" s="46" t="s">
        <v>220</v>
      </c>
      <c r="B3" s="54"/>
      <c r="C3" s="54"/>
      <c r="D3" s="54"/>
      <c r="E3" s="54"/>
      <c r="F3" s="36"/>
      <c r="G3" s="34"/>
    </row>
    <row r="4" spans="1:14">
      <c r="A4" s="46"/>
      <c r="B4" s="54"/>
      <c r="C4" s="54"/>
      <c r="D4" s="54"/>
      <c r="E4" s="54"/>
      <c r="F4" s="424"/>
      <c r="G4" s="34"/>
    </row>
    <row r="5" spans="1:14">
      <c r="A5" s="46"/>
      <c r="B5" s="54"/>
      <c r="C5" s="54"/>
      <c r="D5" s="54"/>
      <c r="E5" s="54"/>
      <c r="F5" s="36"/>
      <c r="G5" s="412"/>
      <c r="M5" s="25">
        <f>75000000</f>
        <v>75000000</v>
      </c>
    </row>
    <row r="6" spans="1:14" s="247" customFormat="1" ht="34.5" customHeight="1">
      <c r="B6" s="249"/>
      <c r="C6" s="409" t="e">
        <f>#REF!</f>
        <v>#REF!</v>
      </c>
      <c r="D6" s="249"/>
      <c r="E6" s="409" t="e">
        <f>#REF!</f>
        <v>#REF!</v>
      </c>
      <c r="F6" s="409" t="s">
        <v>268</v>
      </c>
      <c r="G6" s="4"/>
      <c r="H6" s="409" t="s">
        <v>269</v>
      </c>
      <c r="I6" s="4"/>
      <c r="J6" s="409" t="s">
        <v>270</v>
      </c>
      <c r="K6" s="4"/>
      <c r="M6" s="247">
        <f>5.94%/365</f>
        <v>1.6273972602739726E-4</v>
      </c>
      <c r="N6" s="247">
        <f>M5*M6</f>
        <v>12205.479452054795</v>
      </c>
    </row>
    <row r="7" spans="1:14" s="247" customFormat="1" ht="11.1" customHeight="1">
      <c r="B7" s="248"/>
      <c r="C7" s="410" t="s">
        <v>141</v>
      </c>
      <c r="D7" s="248"/>
      <c r="E7" s="410" t="s">
        <v>141</v>
      </c>
      <c r="F7" s="410" t="s">
        <v>141</v>
      </c>
      <c r="G7" s="432"/>
      <c r="H7" s="410" t="s">
        <v>141</v>
      </c>
      <c r="I7" s="4"/>
      <c r="J7" s="410" t="s">
        <v>141</v>
      </c>
      <c r="K7" s="4"/>
      <c r="N7" s="252">
        <f>N6*7</f>
        <v>85438.356164383556</v>
      </c>
    </row>
    <row r="8" spans="1:14" s="247" customFormat="1" ht="11.1" customHeight="1">
      <c r="C8" s="411" t="s">
        <v>240</v>
      </c>
      <c r="E8" s="411" t="s">
        <v>172</v>
      </c>
      <c r="F8" s="411"/>
      <c r="G8" s="132"/>
      <c r="H8" s="411"/>
      <c r="I8" s="4"/>
      <c r="J8" s="411"/>
      <c r="K8" s="4"/>
    </row>
    <row r="9" spans="1:14" s="247" customFormat="1" ht="11.1" customHeight="1">
      <c r="F9" s="280"/>
      <c r="G9" s="280"/>
    </row>
    <row r="10" spans="1:14" s="247" customFormat="1" ht="9.9499999999999993" customHeight="1">
      <c r="A10" s="250" t="s">
        <v>94</v>
      </c>
      <c r="B10" s="248"/>
      <c r="C10" s="248"/>
      <c r="D10" s="248"/>
      <c r="E10" s="248"/>
      <c r="F10" s="355"/>
      <c r="G10" s="251"/>
    </row>
    <row r="11" spans="1:14" s="247" customFormat="1" ht="9.9499999999999993" hidden="1" customHeight="1">
      <c r="A11" s="253" t="s">
        <v>61</v>
      </c>
      <c r="B11" s="254"/>
      <c r="C11" s="355" t="e">
        <f>#REF!</f>
        <v>#REF!</v>
      </c>
      <c r="D11" s="254"/>
      <c r="E11" s="355" t="e">
        <f>ROUND((C11/1000),0)</f>
        <v>#REF!</v>
      </c>
      <c r="F11" s="355"/>
      <c r="G11" s="251"/>
      <c r="H11" s="355"/>
      <c r="J11" s="355"/>
      <c r="M11" s="247">
        <v>1895809</v>
      </c>
      <c r="N11" s="256" t="e">
        <f t="shared" ref="N11:N55" si="0">E11-M11</f>
        <v>#REF!</v>
      </c>
    </row>
    <row r="12" spans="1:14" s="247" customFormat="1" ht="9.9499999999999993" hidden="1" customHeight="1">
      <c r="A12" s="253" t="s">
        <v>155</v>
      </c>
      <c r="B12" s="254"/>
      <c r="C12" s="355" t="e">
        <f>#REF!</f>
        <v>#REF!</v>
      </c>
      <c r="D12" s="254"/>
      <c r="E12" s="355" t="e">
        <f t="shared" ref="E12:E15" si="1">ROUND((C12/1000),0)</f>
        <v>#REF!</v>
      </c>
      <c r="F12" s="355"/>
      <c r="G12" s="355"/>
      <c r="H12" s="355"/>
      <c r="J12" s="355"/>
      <c r="M12" s="247">
        <v>3181763</v>
      </c>
      <c r="N12" s="256" t="e">
        <f t="shared" si="0"/>
        <v>#REF!</v>
      </c>
    </row>
    <row r="13" spans="1:14" s="247" customFormat="1" ht="9.9499999999999993" hidden="1" customHeight="1">
      <c r="A13" s="253" t="s">
        <v>21</v>
      </c>
      <c r="B13" s="254"/>
      <c r="C13" s="355" t="e">
        <f>#REF!</f>
        <v>#REF!</v>
      </c>
      <c r="D13" s="254"/>
      <c r="E13" s="355" t="e">
        <f t="shared" si="1"/>
        <v>#REF!</v>
      </c>
      <c r="F13" s="355"/>
      <c r="G13" s="251"/>
      <c r="H13" s="355"/>
      <c r="J13" s="355"/>
      <c r="M13" s="247">
        <v>79354</v>
      </c>
      <c r="N13" s="256" t="e">
        <f t="shared" si="0"/>
        <v>#REF!</v>
      </c>
    </row>
    <row r="14" spans="1:14" s="247" customFormat="1" ht="9.9499999999999993" customHeight="1">
      <c r="A14" s="253" t="s">
        <v>135</v>
      </c>
      <c r="B14" s="254"/>
      <c r="C14" s="355" t="e">
        <f>#REF!</f>
        <v>#REF!</v>
      </c>
      <c r="D14" s="254"/>
      <c r="E14" s="355" t="e">
        <f t="shared" si="1"/>
        <v>#REF!</v>
      </c>
      <c r="F14" s="355">
        <f>PLS!$J$38</f>
        <v>58453</v>
      </c>
      <c r="G14" s="251"/>
      <c r="H14" s="355">
        <f>PLS!$J$74</f>
        <v>68384</v>
      </c>
      <c r="J14" s="355">
        <f>PLS!$J$111</f>
        <v>71016</v>
      </c>
      <c r="L14" s="256">
        <f>SUM(F14:K14)</f>
        <v>197853</v>
      </c>
      <c r="M14" s="247">
        <v>134925</v>
      </c>
      <c r="N14" s="256" t="e">
        <f t="shared" si="0"/>
        <v>#REF!</v>
      </c>
    </row>
    <row r="15" spans="1:14" s="247" customFormat="1" ht="9.9499999999999993" customHeight="1">
      <c r="A15" s="253"/>
      <c r="B15" s="248"/>
      <c r="C15" s="355" t="e">
        <f>#REF!+#REF!</f>
        <v>#REF!</v>
      </c>
      <c r="D15" s="248"/>
      <c r="E15" s="355" t="e">
        <f t="shared" si="1"/>
        <v>#REF!</v>
      </c>
      <c r="F15" s="355"/>
      <c r="G15" s="354"/>
      <c r="H15" s="355"/>
      <c r="J15" s="355"/>
      <c r="M15" s="247">
        <v>35195</v>
      </c>
      <c r="N15" s="256" t="e">
        <f t="shared" si="0"/>
        <v>#REF!</v>
      </c>
    </row>
    <row r="16" spans="1:14" s="247" customFormat="1" ht="9.9499999999999993" customHeight="1">
      <c r="A16" s="253"/>
      <c r="B16" s="248"/>
      <c r="C16" s="355" t="e">
        <f>#REF!</f>
        <v>#REF!</v>
      </c>
      <c r="D16" s="248"/>
      <c r="E16" s="355" t="e">
        <f>ROUND((C16/1000),0)</f>
        <v>#REF!</v>
      </c>
      <c r="F16" s="355"/>
      <c r="G16" s="354"/>
      <c r="H16" s="355"/>
      <c r="J16" s="355"/>
      <c r="M16" s="247">
        <v>8670</v>
      </c>
      <c r="N16" s="256" t="e">
        <f t="shared" si="0"/>
        <v>#REF!</v>
      </c>
    </row>
    <row r="17" spans="1:14" s="247" customFormat="1" ht="9.9499999999999993" customHeight="1">
      <c r="A17" s="253"/>
      <c r="B17" s="258"/>
      <c r="C17" s="260" t="e">
        <f>SUM(C11:C16)</f>
        <v>#REF!</v>
      </c>
      <c r="D17" s="258"/>
      <c r="E17" s="260" t="e">
        <f>SUM(E11:E16)</f>
        <v>#REF!</v>
      </c>
      <c r="F17" s="260">
        <f>SUM(F11:F16)</f>
        <v>58453</v>
      </c>
      <c r="G17" s="355"/>
      <c r="H17" s="260">
        <f>SUM(H11:H16)</f>
        <v>68384</v>
      </c>
      <c r="J17" s="260">
        <f>SUM(J11:J16)</f>
        <v>71016</v>
      </c>
      <c r="M17" s="247">
        <v>5335716</v>
      </c>
      <c r="N17" s="256" t="e">
        <f t="shared" si="0"/>
        <v>#REF!</v>
      </c>
    </row>
    <row r="18" spans="1:14" s="247" customFormat="1" ht="9.9499999999999993" customHeight="1">
      <c r="A18" s="264" t="s">
        <v>191</v>
      </c>
      <c r="B18" s="258"/>
      <c r="C18" s="258"/>
      <c r="D18" s="258"/>
      <c r="E18" s="258"/>
      <c r="F18" s="354"/>
      <c r="G18" s="355"/>
      <c r="H18" s="354"/>
      <c r="J18" s="354"/>
      <c r="N18" s="256">
        <f t="shared" si="0"/>
        <v>0</v>
      </c>
    </row>
    <row r="19" spans="1:14" s="247" customFormat="1" ht="9.9499999999999993" customHeight="1">
      <c r="A19" s="261" t="s">
        <v>3</v>
      </c>
      <c r="B19" s="248"/>
      <c r="C19" s="248"/>
      <c r="D19" s="248"/>
      <c r="E19" s="248"/>
      <c r="F19" s="355"/>
      <c r="G19" s="354"/>
      <c r="H19" s="355"/>
      <c r="J19" s="355"/>
      <c r="N19" s="256">
        <f t="shared" si="0"/>
        <v>0</v>
      </c>
    </row>
    <row r="20" spans="1:14" s="247" customFormat="1" ht="9.9499999999999993" customHeight="1">
      <c r="A20" s="262" t="s">
        <v>2</v>
      </c>
      <c r="B20" s="254"/>
      <c r="C20" s="354" t="e">
        <f>#REF!</f>
        <v>#REF!</v>
      </c>
      <c r="D20" s="254"/>
      <c r="E20" s="355" t="e">
        <f>ROUND((C20/1000),0)</f>
        <v>#REF!</v>
      </c>
      <c r="F20" s="354"/>
      <c r="G20" s="354"/>
      <c r="H20" s="354"/>
      <c r="I20" s="256"/>
      <c r="J20" s="354"/>
      <c r="M20" s="247">
        <v>891645</v>
      </c>
      <c r="N20" s="256" t="e">
        <f t="shared" si="0"/>
        <v>#REF!</v>
      </c>
    </row>
    <row r="21" spans="1:14" s="247" customFormat="1" ht="9.9499999999999993" customHeight="1">
      <c r="A21" s="263"/>
      <c r="B21" s="258"/>
      <c r="C21" s="260" t="e">
        <f>SUM(C17:C20)</f>
        <v>#REF!</v>
      </c>
      <c r="D21" s="258"/>
      <c r="E21" s="260" t="e">
        <f>SUM(E17:E20)</f>
        <v>#REF!</v>
      </c>
      <c r="F21" s="260">
        <f>SUM(F17:F20)</f>
        <v>58453</v>
      </c>
      <c r="G21" s="355"/>
      <c r="H21" s="260">
        <f>SUM(H17:H20)</f>
        <v>68384</v>
      </c>
      <c r="I21" s="256" t="e">
        <f>E21-H21</f>
        <v>#REF!</v>
      </c>
      <c r="J21" s="260">
        <f>SUM(J17:J20)</f>
        <v>71016</v>
      </c>
      <c r="M21" s="247">
        <v>6227361</v>
      </c>
      <c r="N21" s="256" t="e">
        <f t="shared" si="0"/>
        <v>#REF!</v>
      </c>
    </row>
    <row r="22" spans="1:14" s="247" customFormat="1" ht="9.9499999999999993" customHeight="1">
      <c r="A22" s="250" t="s">
        <v>82</v>
      </c>
      <c r="B22" s="254"/>
      <c r="C22" s="254"/>
      <c r="D22" s="254"/>
      <c r="E22" s="254"/>
      <c r="F22" s="355"/>
      <c r="G22" s="355"/>
      <c r="H22" s="355"/>
      <c r="J22" s="355"/>
      <c r="N22" s="256">
        <f t="shared" si="0"/>
        <v>0</v>
      </c>
    </row>
    <row r="23" spans="1:14" s="247" customFormat="1" ht="9.9499999999999993" customHeight="1">
      <c r="A23" s="253" t="s">
        <v>22</v>
      </c>
      <c r="B23" s="254"/>
      <c r="C23" s="351" t="e">
        <f>#REF!</f>
        <v>#REF!</v>
      </c>
      <c r="D23" s="254"/>
      <c r="E23" s="351" t="e">
        <f>ROUND((C23/1000),0)</f>
        <v>#REF!</v>
      </c>
      <c r="F23" s="351"/>
      <c r="G23" s="355"/>
      <c r="H23" s="351"/>
      <c r="J23" s="351"/>
      <c r="M23" s="247">
        <v>20017</v>
      </c>
      <c r="N23" s="256" t="e">
        <f t="shared" si="0"/>
        <v>#REF!</v>
      </c>
    </row>
    <row r="24" spans="1:14" s="247" customFormat="1" ht="9.9499999999999993" customHeight="1">
      <c r="A24" s="253" t="s">
        <v>230</v>
      </c>
      <c r="B24" s="265"/>
      <c r="C24" s="352" t="e">
        <f>#REF!</f>
        <v>#REF!</v>
      </c>
      <c r="D24" s="265"/>
      <c r="E24" s="352" t="e">
        <f>ROUND((C24/1000),0)</f>
        <v>#REF!</v>
      </c>
      <c r="F24" s="352">
        <f>PLS!$C$38</f>
        <v>25147</v>
      </c>
      <c r="G24" s="354"/>
      <c r="H24" s="352">
        <f>PLS!$C$74-192</f>
        <v>18577</v>
      </c>
      <c r="J24" s="352">
        <f>PLS!$C$111-194</f>
        <v>19199</v>
      </c>
      <c r="M24" s="247">
        <v>493444</v>
      </c>
      <c r="N24" s="256" t="e">
        <f t="shared" si="0"/>
        <v>#REF!</v>
      </c>
    </row>
    <row r="25" spans="1:14" s="247" customFormat="1" ht="9.9499999999999993" customHeight="1">
      <c r="A25" s="253" t="s">
        <v>201</v>
      </c>
      <c r="B25" s="350"/>
      <c r="C25" s="352" t="e">
        <f>#REF!</f>
        <v>#REF!</v>
      </c>
      <c r="D25" s="350"/>
      <c r="E25" s="352" t="e">
        <f t="shared" ref="E25:E37" si="2">ROUND((C25/1000),0)</f>
        <v>#REF!</v>
      </c>
      <c r="F25" s="352">
        <f>PLS!$D$38</f>
        <v>4278</v>
      </c>
      <c r="G25" s="354"/>
      <c r="H25" s="352">
        <f>PLS!$D$74</f>
        <v>3193</v>
      </c>
      <c r="J25" s="352">
        <f>PLS!$D$111</f>
        <v>3299</v>
      </c>
      <c r="M25" s="247">
        <v>85859</v>
      </c>
      <c r="N25" s="256" t="e">
        <f t="shared" si="0"/>
        <v>#REF!</v>
      </c>
    </row>
    <row r="26" spans="1:14" s="247" customFormat="1" ht="9.9499999999999993" customHeight="1">
      <c r="A26" s="253" t="s">
        <v>226</v>
      </c>
      <c r="B26" s="350"/>
      <c r="C26" s="352" t="e">
        <f>#REF!</f>
        <v>#REF!</v>
      </c>
      <c r="D26" s="350"/>
      <c r="E26" s="352" t="e">
        <f t="shared" si="2"/>
        <v>#REF!</v>
      </c>
      <c r="F26" s="352">
        <f>PLS!$E$38</f>
        <v>4024</v>
      </c>
      <c r="G26" s="354"/>
      <c r="H26" s="352">
        <f>PLS!$E$74</f>
        <v>3003</v>
      </c>
      <c r="J26" s="352">
        <f>PLS!$E$111</f>
        <v>3102</v>
      </c>
      <c r="M26" s="247">
        <v>78760</v>
      </c>
      <c r="N26" s="256" t="e">
        <f t="shared" si="0"/>
        <v>#REF!</v>
      </c>
    </row>
    <row r="27" spans="1:14" s="247" customFormat="1" ht="9.9499999999999993" customHeight="1">
      <c r="A27" s="253" t="s">
        <v>157</v>
      </c>
      <c r="B27" s="254"/>
      <c r="C27" s="352" t="e">
        <f>#REF!</f>
        <v>#REF!</v>
      </c>
      <c r="D27" s="254"/>
      <c r="E27" s="352" t="e">
        <f t="shared" si="2"/>
        <v>#REF!</v>
      </c>
      <c r="F27" s="352">
        <f>PLS!$F$38</f>
        <v>558</v>
      </c>
      <c r="G27" s="354"/>
      <c r="H27" s="352">
        <f>PLS!$F$74</f>
        <v>419</v>
      </c>
      <c r="J27" s="352">
        <f>PLS!$F$111</f>
        <v>432</v>
      </c>
      <c r="M27" s="247">
        <v>46873</v>
      </c>
      <c r="N27" s="256" t="e">
        <f t="shared" si="0"/>
        <v>#REF!</v>
      </c>
    </row>
    <row r="28" spans="1:14" s="247" customFormat="1" ht="9.9499999999999993" customHeight="1">
      <c r="A28" s="253" t="s">
        <v>233</v>
      </c>
      <c r="B28" s="254"/>
      <c r="C28" s="352" t="e">
        <f>#REF!</f>
        <v>#REF!</v>
      </c>
      <c r="D28" s="254"/>
      <c r="E28" s="352" t="e">
        <f t="shared" si="2"/>
        <v>#REF!</v>
      </c>
      <c r="F28" s="352">
        <f>PLS!$G$38</f>
        <v>1773.9999999999998</v>
      </c>
      <c r="G28" s="354"/>
      <c r="H28" s="352">
        <f>PLS!$G$74</f>
        <v>1671</v>
      </c>
      <c r="J28" s="352">
        <f>PLS!$G$111</f>
        <v>1681</v>
      </c>
      <c r="M28" s="247">
        <v>20325</v>
      </c>
      <c r="N28" s="256" t="e">
        <f t="shared" si="0"/>
        <v>#REF!</v>
      </c>
    </row>
    <row r="29" spans="1:14" s="247" customFormat="1" ht="9.9499999999999993" hidden="1" customHeight="1">
      <c r="A29" s="253" t="s">
        <v>149</v>
      </c>
      <c r="B29" s="254"/>
      <c r="C29" s="352" t="e">
        <f>#REF!</f>
        <v>#REF!</v>
      </c>
      <c r="D29" s="254"/>
      <c r="E29" s="352" t="e">
        <f t="shared" si="2"/>
        <v>#REF!</v>
      </c>
      <c r="F29" s="352"/>
      <c r="G29" s="354"/>
      <c r="H29" s="352"/>
      <c r="J29" s="352"/>
      <c r="M29" s="247">
        <v>248</v>
      </c>
      <c r="N29" s="256" t="e">
        <f t="shared" si="0"/>
        <v>#REF!</v>
      </c>
    </row>
    <row r="30" spans="1:14" s="247" customFormat="1" ht="9.9499999999999993" hidden="1" customHeight="1">
      <c r="A30" s="253" t="s">
        <v>146</v>
      </c>
      <c r="B30" s="266"/>
      <c r="C30" s="352" t="e">
        <f>#REF!</f>
        <v>#REF!</v>
      </c>
      <c r="D30" s="266"/>
      <c r="E30" s="352" t="e">
        <f t="shared" si="2"/>
        <v>#REF!</v>
      </c>
      <c r="F30" s="352"/>
      <c r="G30" s="355"/>
      <c r="H30" s="352"/>
      <c r="J30" s="352"/>
      <c r="M30" s="247">
        <v>411</v>
      </c>
      <c r="N30" s="256" t="e">
        <f t="shared" si="0"/>
        <v>#REF!</v>
      </c>
    </row>
    <row r="31" spans="1:14" s="247" customFormat="1" ht="9.9499999999999993" hidden="1" customHeight="1">
      <c r="A31" s="253" t="s">
        <v>156</v>
      </c>
      <c r="B31" s="266"/>
      <c r="C31" s="352" t="e">
        <f>#REF!+#REF!+#REF!+#REF!</f>
        <v>#REF!</v>
      </c>
      <c r="D31" s="266"/>
      <c r="E31" s="352" t="e">
        <f t="shared" si="2"/>
        <v>#REF!</v>
      </c>
      <c r="F31" s="352"/>
      <c r="G31" s="355"/>
      <c r="H31" s="352"/>
      <c r="J31" s="352"/>
      <c r="M31" s="247">
        <v>1302</v>
      </c>
      <c r="N31" s="256" t="e">
        <f t="shared" si="0"/>
        <v>#REF!</v>
      </c>
    </row>
    <row r="32" spans="1:14" s="247" customFormat="1" ht="9.9499999999999993" customHeight="1">
      <c r="A32" s="253" t="s">
        <v>265</v>
      </c>
      <c r="B32" s="267"/>
      <c r="C32" s="352" t="e">
        <f>#REF!</f>
        <v>#REF!</v>
      </c>
      <c r="D32" s="267"/>
      <c r="E32" s="352" t="e">
        <f t="shared" si="2"/>
        <v>#REF!</v>
      </c>
      <c r="F32" s="352">
        <f>300+150</f>
        <v>450</v>
      </c>
      <c r="G32" s="354"/>
      <c r="H32" s="352">
        <f>75+75+75+75+150</f>
        <v>450</v>
      </c>
      <c r="J32" s="352">
        <f>300+150</f>
        <v>450</v>
      </c>
      <c r="M32" s="247">
        <v>8998</v>
      </c>
      <c r="N32" s="256" t="e">
        <f t="shared" si="0"/>
        <v>#REF!</v>
      </c>
    </row>
    <row r="33" spans="1:14" s="247" customFormat="1" ht="9.9499999999999993" customHeight="1">
      <c r="A33" s="253" t="s">
        <v>237</v>
      </c>
      <c r="B33" s="267"/>
      <c r="C33" s="352" t="e">
        <f>#REF!</f>
        <v>#REF!</v>
      </c>
      <c r="D33" s="267"/>
      <c r="E33" s="352" t="e">
        <f t="shared" si="2"/>
        <v>#REF!</v>
      </c>
      <c r="F33" s="352">
        <v>0</v>
      </c>
      <c r="G33" s="354"/>
      <c r="H33" s="352">
        <v>0</v>
      </c>
      <c r="J33" s="352">
        <v>0</v>
      </c>
      <c r="M33" s="247">
        <v>142</v>
      </c>
      <c r="N33" s="256" t="e">
        <f t="shared" si="0"/>
        <v>#REF!</v>
      </c>
    </row>
    <row r="34" spans="1:14" s="247" customFormat="1" ht="9.9499999999999993" hidden="1" customHeight="1">
      <c r="A34" s="253" t="s">
        <v>257</v>
      </c>
      <c r="B34" s="267"/>
      <c r="C34" s="352"/>
      <c r="D34" s="267"/>
      <c r="E34" s="352" t="e">
        <f>#REF!</f>
        <v>#REF!</v>
      </c>
      <c r="F34" s="352"/>
      <c r="G34" s="354"/>
      <c r="H34" s="352"/>
      <c r="J34" s="352"/>
      <c r="M34" s="247">
        <v>1000</v>
      </c>
      <c r="N34" s="256" t="e">
        <f t="shared" si="0"/>
        <v>#REF!</v>
      </c>
    </row>
    <row r="35" spans="1:14" s="247" customFormat="1" ht="9.9499999999999993" hidden="1" customHeight="1">
      <c r="A35" s="253" t="s">
        <v>239</v>
      </c>
      <c r="B35" s="267"/>
      <c r="C35" s="352" t="e">
        <f>#REF!</f>
        <v>#REF!</v>
      </c>
      <c r="D35" s="267"/>
      <c r="E35" s="352" t="e">
        <f t="shared" si="2"/>
        <v>#REF!</v>
      </c>
      <c r="F35" s="352"/>
      <c r="G35" s="354"/>
      <c r="H35" s="352"/>
      <c r="J35" s="352"/>
      <c r="M35" s="247">
        <v>599</v>
      </c>
      <c r="N35" s="256" t="e">
        <f t="shared" si="0"/>
        <v>#REF!</v>
      </c>
    </row>
    <row r="36" spans="1:14" s="247" customFormat="1" ht="9.9499999999999993" hidden="1" customHeight="1">
      <c r="A36" s="247" t="s">
        <v>9</v>
      </c>
      <c r="B36" s="254"/>
      <c r="C36" s="352" t="e">
        <f>#REF!</f>
        <v>#REF!</v>
      </c>
      <c r="D36" s="254"/>
      <c r="E36" s="352" t="e">
        <f t="shared" si="2"/>
        <v>#REF!</v>
      </c>
      <c r="F36" s="352"/>
      <c r="G36" s="355"/>
      <c r="H36" s="352"/>
      <c r="J36" s="352"/>
      <c r="M36" s="247">
        <v>1175</v>
      </c>
      <c r="N36" s="256" t="e">
        <f t="shared" si="0"/>
        <v>#REF!</v>
      </c>
    </row>
    <row r="37" spans="1:14" s="247" customFormat="1" ht="5.25" customHeight="1">
      <c r="C37" s="353" t="e">
        <f>#REF!+#REF!+#REF!</f>
        <v>#REF!</v>
      </c>
      <c r="E37" s="310" t="e">
        <f t="shared" si="2"/>
        <v>#REF!</v>
      </c>
      <c r="F37" s="353"/>
      <c r="H37" s="353"/>
      <c r="J37" s="353"/>
      <c r="M37" s="247">
        <v>269</v>
      </c>
      <c r="N37" s="256" t="e">
        <f t="shared" si="0"/>
        <v>#REF!</v>
      </c>
    </row>
    <row r="38" spans="1:14" s="247" customFormat="1" ht="9.9499999999999993" customHeight="1">
      <c r="A38" s="250"/>
      <c r="B38" s="254"/>
      <c r="C38" s="354" t="e">
        <f>SUM(C23:C37)+1</f>
        <v>#REF!</v>
      </c>
      <c r="D38" s="254"/>
      <c r="E38" s="354" t="e">
        <f>SUM(E23:E37)+1</f>
        <v>#REF!</v>
      </c>
      <c r="F38" s="354">
        <f>SUM(F23:F37)</f>
        <v>36231</v>
      </c>
      <c r="G38" s="355"/>
      <c r="H38" s="354">
        <f>SUM(H23:H37)</f>
        <v>27313</v>
      </c>
      <c r="J38" s="354">
        <f>SUM(J23:J37)</f>
        <v>28163</v>
      </c>
      <c r="M38" s="247">
        <v>759423</v>
      </c>
      <c r="N38" s="256" t="e">
        <f t="shared" si="0"/>
        <v>#REF!</v>
      </c>
    </row>
    <row r="39" spans="1:14" s="247" customFormat="1" ht="9.9499999999999993" customHeight="1">
      <c r="B39" s="254"/>
      <c r="C39" s="354"/>
      <c r="D39" s="254"/>
      <c r="E39" s="354"/>
      <c r="F39" s="354"/>
      <c r="G39" s="355"/>
      <c r="H39" s="354"/>
      <c r="I39" s="256"/>
      <c r="J39" s="354"/>
      <c r="N39" s="256">
        <f t="shared" si="0"/>
        <v>0</v>
      </c>
    </row>
    <row r="40" spans="1:14" s="247" customFormat="1" ht="9.9499999999999993" customHeight="1">
      <c r="A40" s="250" t="s">
        <v>10</v>
      </c>
      <c r="B40" s="254"/>
      <c r="C40" s="260" t="e">
        <f>C21-C38</f>
        <v>#REF!</v>
      </c>
      <c r="D40" s="254"/>
      <c r="E40" s="260" t="e">
        <f>E21-E38</f>
        <v>#REF!</v>
      </c>
      <c r="F40" s="260">
        <f>F21-F38</f>
        <v>22222</v>
      </c>
      <c r="G40" s="355"/>
      <c r="H40" s="260">
        <f>H21-H38</f>
        <v>41071</v>
      </c>
      <c r="J40" s="260">
        <f>J21-J38</f>
        <v>42853</v>
      </c>
      <c r="M40" s="247">
        <v>5467938</v>
      </c>
      <c r="N40" s="256" t="e">
        <f t="shared" si="0"/>
        <v>#REF!</v>
      </c>
    </row>
    <row r="41" spans="1:14" s="247" customFormat="1" ht="9.9499999999999993" customHeight="1">
      <c r="A41" s="250"/>
      <c r="B41" s="254"/>
      <c r="C41" s="354"/>
      <c r="D41" s="254"/>
      <c r="E41" s="354"/>
      <c r="F41" s="354"/>
      <c r="G41" s="355"/>
      <c r="H41" s="354"/>
      <c r="J41" s="354"/>
      <c r="N41" s="256">
        <f t="shared" si="0"/>
        <v>0</v>
      </c>
    </row>
    <row r="42" spans="1:14" s="247" customFormat="1" ht="9.9499999999999993" customHeight="1">
      <c r="A42" s="253" t="s">
        <v>4</v>
      </c>
      <c r="B42" s="258"/>
      <c r="C42" s="355"/>
      <c r="D42" s="258"/>
      <c r="E42" s="355"/>
      <c r="F42" s="355"/>
      <c r="G42" s="355"/>
      <c r="H42" s="355"/>
      <c r="J42" s="355"/>
      <c r="N42" s="256">
        <f t="shared" si="0"/>
        <v>0</v>
      </c>
    </row>
    <row r="43" spans="1:14" s="247" customFormat="1" ht="9.9499999999999993" customHeight="1">
      <c r="A43" s="262" t="s">
        <v>5</v>
      </c>
      <c r="B43" s="349"/>
      <c r="C43" s="355" t="e">
        <f>ROUNDUP(#REF!,0)*0+22561762</f>
        <v>#REF!</v>
      </c>
      <c r="D43" s="349"/>
      <c r="E43" s="354">
        <v>0</v>
      </c>
      <c r="F43" s="355">
        <v>0</v>
      </c>
      <c r="G43" s="355"/>
      <c r="H43" s="355">
        <v>0</v>
      </c>
      <c r="I43" s="252"/>
      <c r="J43" s="355">
        <v>0</v>
      </c>
      <c r="M43" s="247">
        <v>-160389.758</v>
      </c>
      <c r="N43" s="256">
        <f t="shared" si="0"/>
        <v>160389.758</v>
      </c>
    </row>
    <row r="44" spans="1:14" s="247" customFormat="1" ht="9.9499999999999993" customHeight="1">
      <c r="A44" s="253" t="s">
        <v>11</v>
      </c>
      <c r="B44" s="349"/>
      <c r="C44" s="355" t="e">
        <f>-#REF!</f>
        <v>#REF!</v>
      </c>
      <c r="D44" s="349"/>
      <c r="E44" s="354" t="e">
        <f>ROUND((C44/1000),0)</f>
        <v>#REF!</v>
      </c>
      <c r="F44" s="355"/>
      <c r="G44" s="355"/>
      <c r="H44" s="355"/>
      <c r="I44" s="252"/>
      <c r="J44" s="355"/>
      <c r="M44" s="247">
        <v>-104033</v>
      </c>
      <c r="N44" s="256" t="e">
        <f t="shared" si="0"/>
        <v>#REF!</v>
      </c>
    </row>
    <row r="45" spans="1:14" s="247" customFormat="1" ht="9.9499999999999993" customHeight="1">
      <c r="B45" s="254"/>
      <c r="C45" s="354"/>
      <c r="D45" s="254"/>
      <c r="E45" s="354"/>
      <c r="F45" s="354"/>
      <c r="G45" s="355"/>
      <c r="H45" s="354"/>
      <c r="I45" s="252"/>
      <c r="J45" s="354"/>
      <c r="N45" s="256">
        <f t="shared" si="0"/>
        <v>0</v>
      </c>
    </row>
    <row r="46" spans="1:14" s="247" customFormat="1" ht="9.9499999999999993" customHeight="1">
      <c r="A46" s="250" t="s">
        <v>217</v>
      </c>
      <c r="B46" s="254"/>
      <c r="C46" s="260" t="e">
        <f>ROUND(SUM(C40:C44),0)</f>
        <v>#REF!</v>
      </c>
      <c r="D46" s="254"/>
      <c r="E46" s="260" t="e">
        <f>ROUND(SUM(E40:E44),0)</f>
        <v>#REF!</v>
      </c>
      <c r="F46" s="260">
        <f>ROUND(SUM(F40:F44),0)</f>
        <v>22222</v>
      </c>
      <c r="G46" s="355"/>
      <c r="H46" s="260">
        <f>ROUND(SUM(H40:H44),0)</f>
        <v>41071</v>
      </c>
      <c r="I46" s="252">
        <f>I44+I45</f>
        <v>0</v>
      </c>
      <c r="J46" s="260">
        <f>ROUND(SUM(J40:J44),0)</f>
        <v>42853</v>
      </c>
      <c r="M46" s="247">
        <v>5203515</v>
      </c>
      <c r="N46" s="256" t="e">
        <f t="shared" si="0"/>
        <v>#REF!</v>
      </c>
    </row>
    <row r="47" spans="1:14" s="247" customFormat="1" ht="9.9499999999999993" customHeight="1">
      <c r="A47" s="250"/>
      <c r="B47" s="254"/>
      <c r="C47" s="354"/>
      <c r="D47" s="254"/>
      <c r="E47" s="354"/>
      <c r="F47" s="354"/>
      <c r="G47" s="355"/>
      <c r="H47" s="354"/>
      <c r="I47" s="252">
        <f>I46*1000</f>
        <v>0</v>
      </c>
      <c r="J47" s="354"/>
      <c r="N47" s="256">
        <f t="shared" si="0"/>
        <v>0</v>
      </c>
    </row>
    <row r="48" spans="1:14" s="247" customFormat="1" ht="9.9499999999999993" customHeight="1">
      <c r="A48" s="247" t="s">
        <v>95</v>
      </c>
      <c r="B48" s="268"/>
      <c r="C48" s="354">
        <v>0</v>
      </c>
      <c r="D48" s="268"/>
      <c r="E48" s="354">
        <v>0</v>
      </c>
      <c r="F48" s="354">
        <v>0</v>
      </c>
      <c r="G48" s="355"/>
      <c r="H48" s="354">
        <v>0</v>
      </c>
      <c r="J48" s="354">
        <v>0</v>
      </c>
      <c r="M48" s="247">
        <v>0</v>
      </c>
      <c r="N48" s="256">
        <f t="shared" si="0"/>
        <v>0</v>
      </c>
    </row>
    <row r="49" spans="1:206" s="247" customFormat="1" ht="9.9499999999999993" customHeight="1">
      <c r="B49" s="254"/>
      <c r="C49" s="354"/>
      <c r="D49" s="254"/>
      <c r="E49" s="354"/>
      <c r="F49" s="354"/>
      <c r="G49" s="355"/>
      <c r="H49" s="354"/>
      <c r="J49" s="354"/>
      <c r="N49" s="256">
        <f t="shared" si="0"/>
        <v>0</v>
      </c>
    </row>
    <row r="50" spans="1:206" s="247" customFormat="1" ht="9.9499999999999993" customHeight="1" thickBot="1">
      <c r="A50" s="250" t="s">
        <v>218</v>
      </c>
      <c r="B50" s="269"/>
      <c r="C50" s="270" t="e">
        <f>C46-C48</f>
        <v>#REF!</v>
      </c>
      <c r="D50" s="269"/>
      <c r="E50" s="270" t="e">
        <f>E46-E48</f>
        <v>#REF!</v>
      </c>
      <c r="F50" s="270">
        <f>F46-F48</f>
        <v>22222</v>
      </c>
      <c r="G50" s="271"/>
      <c r="H50" s="270">
        <f>H46-H48</f>
        <v>41071</v>
      </c>
      <c r="I50" s="256" t="e">
        <f>E50-#REF!</f>
        <v>#REF!</v>
      </c>
      <c r="J50" s="270">
        <f>J46-J48</f>
        <v>42853</v>
      </c>
      <c r="M50" s="247">
        <v>5203515</v>
      </c>
      <c r="N50" s="256" t="e">
        <f t="shared" si="0"/>
        <v>#REF!</v>
      </c>
    </row>
    <row r="51" spans="1:206" s="272" customFormat="1" ht="9.9499999999999993" customHeight="1" thickTop="1">
      <c r="A51" s="273"/>
      <c r="B51" s="269"/>
      <c r="C51" s="269"/>
      <c r="D51" s="269"/>
      <c r="E51" s="269"/>
      <c r="F51" s="274"/>
      <c r="G51" s="271"/>
      <c r="N51" s="256">
        <f t="shared" si="0"/>
        <v>0</v>
      </c>
    </row>
    <row r="52" spans="1:206" s="272" customFormat="1" ht="9.9499999999999993" customHeight="1">
      <c r="A52" s="275" t="s">
        <v>219</v>
      </c>
      <c r="B52" s="268"/>
      <c r="C52" s="268"/>
      <c r="D52" s="268"/>
      <c r="E52" s="268"/>
      <c r="F52" s="276">
        <f>F50*2%</f>
        <v>444.44</v>
      </c>
      <c r="G52" s="251"/>
      <c r="H52" s="276">
        <f>H50*2%</f>
        <v>821.42000000000007</v>
      </c>
      <c r="J52" s="276">
        <f>J50*2%</f>
        <v>857.06000000000006</v>
      </c>
      <c r="N52" s="256">
        <f t="shared" si="0"/>
        <v>0</v>
      </c>
    </row>
    <row r="53" spans="1:206" s="247" customFormat="1" ht="9.9499999999999993" customHeight="1">
      <c r="B53" s="248"/>
      <c r="C53" s="248"/>
      <c r="D53" s="248"/>
      <c r="E53" s="413" t="s">
        <v>231</v>
      </c>
      <c r="F53" s="413" t="s">
        <v>231</v>
      </c>
      <c r="G53" s="406"/>
      <c r="M53" s="247" t="s">
        <v>231</v>
      </c>
      <c r="N53" s="256" t="e">
        <f t="shared" si="0"/>
        <v>#VALUE!</v>
      </c>
    </row>
    <row r="54" spans="1:206" s="247" customFormat="1" ht="9.9499999999999993" customHeight="1">
      <c r="B54" s="248"/>
      <c r="C54" s="248"/>
      <c r="D54" s="248"/>
      <c r="E54" s="248"/>
      <c r="F54" s="405"/>
      <c r="G54" s="406"/>
      <c r="N54" s="256">
        <f t="shared" si="0"/>
        <v>0</v>
      </c>
    </row>
    <row r="55" spans="1:206" s="247" customFormat="1" ht="9.9499999999999993" customHeight="1" thickBot="1">
      <c r="A55" s="414" t="s">
        <v>219</v>
      </c>
      <c r="B55" s="415"/>
      <c r="C55" s="416" t="e">
        <f>C50/C59</f>
        <v>#REF!</v>
      </c>
      <c r="D55" s="415"/>
      <c r="E55" s="416" t="e">
        <f>E50/(E59/1000)</f>
        <v>#REF!</v>
      </c>
      <c r="F55" s="416" t="e">
        <f>#REF!</f>
        <v>#REF!</v>
      </c>
      <c r="G55" s="255"/>
      <c r="H55" s="354"/>
      <c r="I55" s="354"/>
      <c r="J55" s="354"/>
      <c r="K55" s="354"/>
      <c r="L55" s="354"/>
      <c r="M55" s="277">
        <v>4.8409547113501228</v>
      </c>
      <c r="N55" s="259" t="e">
        <f t="shared" si="0"/>
        <v>#REF!</v>
      </c>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4"/>
      <c r="BZ55" s="354"/>
      <c r="CA55" s="354"/>
      <c r="CB55" s="354"/>
      <c r="CC55" s="354"/>
      <c r="CD55" s="354"/>
      <c r="CE55" s="354"/>
      <c r="CF55" s="354"/>
      <c r="CG55" s="354"/>
      <c r="CH55" s="354"/>
      <c r="CI55" s="354"/>
      <c r="CJ55" s="354"/>
      <c r="CK55" s="354"/>
      <c r="CL55" s="354"/>
      <c r="CM55" s="354"/>
      <c r="CN55" s="354"/>
      <c r="CO55" s="354"/>
      <c r="CP55" s="354"/>
      <c r="CQ55" s="354"/>
      <c r="CR55" s="354"/>
      <c r="CS55" s="354"/>
      <c r="CT55" s="354"/>
      <c r="CU55" s="354"/>
      <c r="CV55" s="354"/>
      <c r="CW55" s="354"/>
      <c r="CX55" s="354"/>
      <c r="CY55" s="354"/>
      <c r="CZ55" s="354"/>
      <c r="DA55" s="354"/>
      <c r="DB55" s="354"/>
      <c r="DC55" s="354"/>
      <c r="DD55" s="354"/>
      <c r="DE55" s="354"/>
      <c r="DF55" s="354"/>
      <c r="DG55" s="354"/>
      <c r="DH55" s="354"/>
      <c r="DI55" s="354"/>
      <c r="DJ55" s="354"/>
      <c r="DK55" s="354"/>
      <c r="DL55" s="354"/>
      <c r="DM55" s="354"/>
      <c r="DN55" s="354"/>
      <c r="DO55" s="354"/>
      <c r="DP55" s="354"/>
      <c r="DQ55" s="354"/>
      <c r="DR55" s="354"/>
      <c r="DS55" s="354"/>
      <c r="DT55" s="354"/>
      <c r="DU55" s="354"/>
      <c r="DV55" s="354"/>
      <c r="DW55" s="354"/>
      <c r="DX55" s="354"/>
      <c r="DY55" s="354"/>
      <c r="DZ55" s="354"/>
      <c r="EA55" s="354"/>
      <c r="EB55" s="354"/>
      <c r="EC55" s="354"/>
      <c r="ED55" s="354"/>
      <c r="EE55" s="354"/>
      <c r="EF55" s="354"/>
      <c r="EG55" s="354"/>
      <c r="EH55" s="354"/>
      <c r="EI55" s="354"/>
      <c r="EJ55" s="354"/>
      <c r="EK55" s="354"/>
      <c r="EL55" s="354"/>
      <c r="EM55" s="354"/>
      <c r="EN55" s="354"/>
      <c r="EO55" s="354"/>
      <c r="EP55" s="354"/>
      <c r="EQ55" s="354"/>
      <c r="ER55" s="354"/>
      <c r="ES55" s="354"/>
      <c r="ET55" s="354"/>
      <c r="EU55" s="354"/>
      <c r="EV55" s="354"/>
      <c r="EW55" s="354"/>
      <c r="EX55" s="354"/>
      <c r="EY55" s="354"/>
      <c r="EZ55" s="354"/>
      <c r="FA55" s="354"/>
      <c r="FB55" s="354"/>
      <c r="FC55" s="354"/>
      <c r="FD55" s="354"/>
      <c r="FE55" s="354"/>
      <c r="FF55" s="354"/>
      <c r="FG55" s="354"/>
      <c r="FH55" s="354"/>
      <c r="FI55" s="354"/>
      <c r="FJ55" s="354"/>
      <c r="FK55" s="354"/>
      <c r="FL55" s="354"/>
      <c r="FM55" s="354"/>
      <c r="FN55" s="354"/>
      <c r="FO55" s="354"/>
      <c r="FP55" s="354"/>
      <c r="FQ55" s="354"/>
      <c r="FR55" s="354"/>
      <c r="FS55" s="354"/>
      <c r="FT55" s="354"/>
      <c r="FU55" s="354"/>
      <c r="FV55" s="354"/>
      <c r="FW55" s="354"/>
      <c r="FX55" s="354"/>
      <c r="FY55" s="354"/>
      <c r="FZ55" s="354"/>
      <c r="GA55" s="354"/>
      <c r="GB55" s="354"/>
      <c r="GC55" s="354"/>
      <c r="GD55" s="354"/>
      <c r="GE55" s="354"/>
      <c r="GF55" s="354"/>
      <c r="GG55" s="354"/>
      <c r="GH55" s="354"/>
      <c r="GI55" s="354"/>
      <c r="GJ55" s="354"/>
      <c r="GK55" s="354"/>
      <c r="GL55" s="354"/>
      <c r="GM55" s="354"/>
      <c r="GN55" s="354"/>
      <c r="GO55" s="354"/>
      <c r="GP55" s="354"/>
      <c r="GQ55" s="354"/>
      <c r="GR55" s="354"/>
      <c r="GS55" s="354"/>
      <c r="GT55" s="354"/>
      <c r="GU55" s="354"/>
      <c r="GV55" s="354"/>
      <c r="GW55" s="354"/>
      <c r="GX55" s="354"/>
    </row>
    <row r="56" spans="1:206" s="247" customFormat="1" ht="9.9499999999999993" customHeight="1" thickTop="1">
      <c r="B56" s="248"/>
      <c r="C56" s="255"/>
      <c r="D56" s="248"/>
      <c r="E56" s="255"/>
      <c r="F56" s="255"/>
      <c r="G56" s="255"/>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c r="CE56" s="354"/>
      <c r="CF56" s="354"/>
      <c r="CG56" s="354"/>
      <c r="CH56" s="354"/>
      <c r="CI56" s="354"/>
      <c r="CJ56" s="354"/>
      <c r="CK56" s="354"/>
      <c r="CL56" s="354"/>
      <c r="CM56" s="354"/>
      <c r="CN56" s="354"/>
      <c r="CO56" s="354"/>
      <c r="CP56" s="354"/>
      <c r="CQ56" s="354"/>
      <c r="CR56" s="354"/>
      <c r="CS56" s="354"/>
      <c r="CT56" s="354"/>
      <c r="CU56" s="354"/>
      <c r="CV56" s="354"/>
      <c r="CW56" s="354"/>
      <c r="CX56" s="354"/>
      <c r="CY56" s="354"/>
      <c r="CZ56" s="354"/>
      <c r="DA56" s="354"/>
      <c r="DB56" s="354"/>
      <c r="DC56" s="354"/>
      <c r="DD56" s="354"/>
      <c r="DE56" s="354"/>
      <c r="DF56" s="354"/>
      <c r="DG56" s="354"/>
      <c r="DH56" s="354"/>
      <c r="DI56" s="354"/>
      <c r="DJ56" s="354"/>
      <c r="DK56" s="354"/>
      <c r="DL56" s="354"/>
      <c r="DM56" s="354"/>
      <c r="DN56" s="354"/>
      <c r="DO56" s="354"/>
      <c r="DP56" s="354"/>
      <c r="DQ56" s="354"/>
      <c r="DR56" s="354"/>
      <c r="DS56" s="354"/>
      <c r="DT56" s="354"/>
      <c r="DU56" s="354"/>
      <c r="DV56" s="354"/>
      <c r="DW56" s="354"/>
      <c r="DX56" s="354"/>
      <c r="DY56" s="354"/>
      <c r="DZ56" s="354"/>
      <c r="EA56" s="354"/>
      <c r="EB56" s="354"/>
      <c r="EC56" s="354"/>
      <c r="ED56" s="354"/>
      <c r="EE56" s="354"/>
      <c r="EF56" s="354"/>
      <c r="EG56" s="354"/>
      <c r="EH56" s="354"/>
      <c r="EI56" s="354"/>
      <c r="EJ56" s="354"/>
      <c r="EK56" s="354"/>
      <c r="EL56" s="354"/>
      <c r="EM56" s="354"/>
      <c r="EN56" s="354"/>
      <c r="EO56" s="354"/>
      <c r="EP56" s="354"/>
      <c r="EQ56" s="354"/>
      <c r="ER56" s="354"/>
      <c r="ES56" s="354"/>
      <c r="ET56" s="354"/>
      <c r="EU56" s="354"/>
      <c r="EV56" s="354"/>
      <c r="EW56" s="354"/>
      <c r="EX56" s="354"/>
      <c r="EY56" s="354"/>
      <c r="EZ56" s="354"/>
      <c r="FA56" s="354"/>
      <c r="FB56" s="354"/>
      <c r="FC56" s="354"/>
      <c r="FD56" s="354"/>
      <c r="FE56" s="354"/>
      <c r="FF56" s="354"/>
      <c r="FG56" s="354"/>
      <c r="FH56" s="354"/>
      <c r="FI56" s="354"/>
      <c r="FJ56" s="354"/>
      <c r="FK56" s="354"/>
      <c r="FL56" s="354"/>
      <c r="FM56" s="354"/>
      <c r="FN56" s="354"/>
      <c r="FO56" s="354"/>
      <c r="FP56" s="354"/>
      <c r="FQ56" s="354"/>
      <c r="FR56" s="354"/>
      <c r="FS56" s="354"/>
      <c r="FT56" s="354"/>
      <c r="FU56" s="354"/>
      <c r="FV56" s="354"/>
      <c r="FW56" s="354"/>
      <c r="FX56" s="354"/>
      <c r="FY56" s="354"/>
      <c r="FZ56" s="354"/>
      <c r="GA56" s="354"/>
      <c r="GB56" s="354"/>
      <c r="GC56" s="354"/>
      <c r="GD56" s="354"/>
      <c r="GE56" s="354"/>
      <c r="GF56" s="354"/>
      <c r="GG56" s="354"/>
      <c r="GH56" s="354"/>
      <c r="GI56" s="354"/>
      <c r="GJ56" s="354"/>
      <c r="GK56" s="354"/>
      <c r="GL56" s="354"/>
      <c r="GM56" s="354"/>
      <c r="GN56" s="354"/>
      <c r="GO56" s="354"/>
      <c r="GP56" s="354"/>
      <c r="GQ56" s="354"/>
      <c r="GR56" s="354"/>
      <c r="GS56" s="354"/>
      <c r="GT56" s="354"/>
      <c r="GU56" s="354"/>
      <c r="GV56" s="354"/>
      <c r="GW56" s="354"/>
      <c r="GX56" s="354"/>
    </row>
    <row r="57" spans="1:206" s="247" customFormat="1" ht="9.9499999999999993" customHeight="1">
      <c r="A57" s="250" t="s">
        <v>258</v>
      </c>
      <c r="B57" s="248"/>
      <c r="C57" s="255" t="e">
        <f>C50-C20</f>
        <v>#REF!</v>
      </c>
      <c r="D57" s="248"/>
      <c r="E57" s="255" t="e">
        <f>E50-E12</f>
        <v>#REF!</v>
      </c>
      <c r="F57" s="255">
        <f>F50-F20</f>
        <v>22222</v>
      </c>
      <c r="G57" s="255"/>
      <c r="H57" s="354" t="e">
        <f>E50-E12</f>
        <v>#REF!</v>
      </c>
      <c r="I57" s="354"/>
      <c r="J57" s="354"/>
      <c r="K57" s="354"/>
      <c r="L57" s="354"/>
      <c r="M57" s="277">
        <v>4311870</v>
      </c>
      <c r="N57" s="259" t="e">
        <f>E57-M57</f>
        <v>#REF!</v>
      </c>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c r="CE57" s="354"/>
      <c r="CF57" s="354"/>
      <c r="CG57" s="354"/>
      <c r="CH57" s="354"/>
      <c r="CI57" s="354"/>
      <c r="CJ57" s="354"/>
      <c r="CK57" s="354"/>
      <c r="CL57" s="354"/>
      <c r="CM57" s="354"/>
      <c r="CN57" s="354"/>
      <c r="CO57" s="354"/>
      <c r="CP57" s="354"/>
      <c r="CQ57" s="354"/>
      <c r="CR57" s="354"/>
      <c r="CS57" s="354"/>
      <c r="CT57" s="354"/>
      <c r="CU57" s="354"/>
      <c r="CV57" s="354"/>
      <c r="CW57" s="354"/>
      <c r="CX57" s="354"/>
      <c r="CY57" s="354"/>
      <c r="CZ57" s="354"/>
      <c r="DA57" s="354"/>
      <c r="DB57" s="354"/>
      <c r="DC57" s="354"/>
      <c r="DD57" s="354"/>
      <c r="DE57" s="354"/>
      <c r="DF57" s="354"/>
      <c r="DG57" s="354"/>
      <c r="DH57" s="354"/>
      <c r="DI57" s="354"/>
      <c r="DJ57" s="354"/>
      <c r="DK57" s="354"/>
      <c r="DL57" s="354"/>
      <c r="DM57" s="354"/>
      <c r="DN57" s="354"/>
      <c r="DO57" s="354"/>
      <c r="DP57" s="354"/>
      <c r="DQ57" s="354"/>
      <c r="DR57" s="354"/>
      <c r="DS57" s="354"/>
      <c r="DT57" s="354"/>
      <c r="DU57" s="354"/>
      <c r="DV57" s="354"/>
      <c r="DW57" s="354"/>
      <c r="DX57" s="354"/>
      <c r="DY57" s="354"/>
      <c r="DZ57" s="354"/>
      <c r="EA57" s="354"/>
      <c r="EB57" s="354"/>
      <c r="EC57" s="354"/>
      <c r="ED57" s="354"/>
      <c r="EE57" s="354"/>
      <c r="EF57" s="354"/>
      <c r="EG57" s="354"/>
      <c r="EH57" s="354"/>
      <c r="EI57" s="354"/>
      <c r="EJ57" s="354"/>
      <c r="EK57" s="354"/>
      <c r="EL57" s="354"/>
      <c r="EM57" s="354"/>
      <c r="EN57" s="354"/>
      <c r="EO57" s="354"/>
      <c r="EP57" s="354"/>
      <c r="EQ57" s="354"/>
      <c r="ER57" s="354"/>
      <c r="ES57" s="354"/>
      <c r="ET57" s="354"/>
      <c r="EU57" s="354"/>
      <c r="EV57" s="354"/>
      <c r="EW57" s="354"/>
      <c r="EX57" s="354"/>
      <c r="EY57" s="354"/>
      <c r="EZ57" s="354"/>
      <c r="FA57" s="354"/>
      <c r="FB57" s="354"/>
      <c r="FC57" s="354"/>
      <c r="FD57" s="354"/>
      <c r="FE57" s="354"/>
      <c r="FF57" s="354"/>
      <c r="FG57" s="354"/>
      <c r="FH57" s="354"/>
      <c r="FI57" s="354"/>
      <c r="FJ57" s="354"/>
      <c r="FK57" s="354"/>
      <c r="FL57" s="354"/>
      <c r="FM57" s="354"/>
      <c r="FN57" s="354"/>
      <c r="FO57" s="354"/>
      <c r="FP57" s="354"/>
      <c r="FQ57" s="354"/>
      <c r="FR57" s="354"/>
      <c r="FS57" s="354"/>
      <c r="FT57" s="354"/>
      <c r="FU57" s="354"/>
      <c r="FV57" s="354"/>
      <c r="FW57" s="354"/>
      <c r="FX57" s="354"/>
      <c r="FY57" s="354"/>
      <c r="FZ57" s="354"/>
      <c r="GA57" s="354"/>
      <c r="GB57" s="354"/>
      <c r="GC57" s="354"/>
      <c r="GD57" s="354"/>
      <c r="GE57" s="354"/>
      <c r="GF57" s="354"/>
      <c r="GG57" s="354"/>
      <c r="GH57" s="354"/>
      <c r="GI57" s="354"/>
      <c r="GJ57" s="354"/>
      <c r="GK57" s="354"/>
      <c r="GL57" s="354"/>
      <c r="GM57" s="354"/>
      <c r="GN57" s="354"/>
      <c r="GO57" s="354"/>
      <c r="GP57" s="354"/>
      <c r="GQ57" s="354"/>
      <c r="GR57" s="354"/>
      <c r="GS57" s="354"/>
      <c r="GT57" s="354"/>
      <c r="GU57" s="354"/>
      <c r="GV57" s="354"/>
      <c r="GW57" s="354"/>
      <c r="GX57" s="354"/>
    </row>
    <row r="58" spans="1:206" s="247" customFormat="1" ht="9.9499999999999993" customHeight="1">
      <c r="B58" s="248"/>
      <c r="C58" s="255"/>
      <c r="D58" s="248"/>
      <c r="E58" s="255"/>
      <c r="F58" s="255"/>
      <c r="G58" s="255"/>
      <c r="H58" s="354"/>
      <c r="I58" s="354"/>
      <c r="J58" s="354"/>
      <c r="K58" s="354"/>
      <c r="L58" s="354"/>
      <c r="M58" s="277"/>
      <c r="N58" s="259">
        <f>E58-M58</f>
        <v>0</v>
      </c>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c r="BW58" s="354"/>
      <c r="BX58" s="354"/>
      <c r="BY58" s="354"/>
      <c r="BZ58" s="354"/>
      <c r="CA58" s="354"/>
      <c r="CB58" s="354"/>
      <c r="CC58" s="354"/>
      <c r="CD58" s="354"/>
      <c r="CE58" s="354"/>
      <c r="CF58" s="354"/>
      <c r="CG58" s="354"/>
      <c r="CH58" s="354"/>
      <c r="CI58" s="354"/>
      <c r="CJ58" s="354"/>
      <c r="CK58" s="354"/>
      <c r="CL58" s="354"/>
      <c r="CM58" s="354"/>
      <c r="CN58" s="354"/>
      <c r="CO58" s="354"/>
      <c r="CP58" s="354"/>
      <c r="CQ58" s="354"/>
      <c r="CR58" s="354"/>
      <c r="CS58" s="354"/>
      <c r="CT58" s="354"/>
      <c r="CU58" s="354"/>
      <c r="CV58" s="354"/>
      <c r="CW58" s="354"/>
      <c r="CX58" s="354"/>
      <c r="CY58" s="354"/>
      <c r="CZ58" s="354"/>
      <c r="DA58" s="354"/>
      <c r="DB58" s="354"/>
      <c r="DC58" s="354"/>
      <c r="DD58" s="354"/>
      <c r="DE58" s="354"/>
      <c r="DF58" s="354"/>
      <c r="DG58" s="354"/>
      <c r="DH58" s="354"/>
      <c r="DI58" s="354"/>
      <c r="DJ58" s="354"/>
      <c r="DK58" s="354"/>
      <c r="DL58" s="354"/>
      <c r="DM58" s="354"/>
      <c r="DN58" s="354"/>
      <c r="DO58" s="354"/>
      <c r="DP58" s="354"/>
      <c r="DQ58" s="354"/>
      <c r="DR58" s="354"/>
      <c r="DS58" s="354"/>
      <c r="DT58" s="354"/>
      <c r="DU58" s="354"/>
      <c r="DV58" s="354"/>
      <c r="DW58" s="354"/>
      <c r="DX58" s="354"/>
      <c r="DY58" s="354"/>
      <c r="DZ58" s="354"/>
      <c r="EA58" s="354"/>
      <c r="EB58" s="354"/>
      <c r="EC58" s="354"/>
      <c r="ED58" s="354"/>
      <c r="EE58" s="354"/>
      <c r="EF58" s="354"/>
      <c r="EG58" s="354"/>
      <c r="EH58" s="354"/>
      <c r="EI58" s="354"/>
      <c r="EJ58" s="354"/>
      <c r="EK58" s="354"/>
      <c r="EL58" s="354"/>
      <c r="EM58" s="354"/>
      <c r="EN58" s="354"/>
      <c r="EO58" s="354"/>
      <c r="EP58" s="354"/>
      <c r="EQ58" s="354"/>
      <c r="ER58" s="354"/>
      <c r="ES58" s="354"/>
      <c r="ET58" s="354"/>
      <c r="EU58" s="354"/>
      <c r="EV58" s="354"/>
      <c r="EW58" s="354"/>
      <c r="EX58" s="354"/>
      <c r="EY58" s="354"/>
      <c r="EZ58" s="354"/>
      <c r="FA58" s="354"/>
      <c r="FB58" s="354"/>
      <c r="FC58" s="354"/>
      <c r="FD58" s="354"/>
      <c r="FE58" s="354"/>
      <c r="FF58" s="354"/>
      <c r="FG58" s="354"/>
      <c r="FH58" s="354"/>
      <c r="FI58" s="354"/>
      <c r="FJ58" s="354"/>
      <c r="FK58" s="354"/>
      <c r="FL58" s="354"/>
      <c r="FM58" s="354"/>
      <c r="FN58" s="354"/>
      <c r="FO58" s="354"/>
      <c r="FP58" s="354"/>
      <c r="FQ58" s="354"/>
      <c r="FR58" s="354"/>
      <c r="FS58" s="354"/>
      <c r="FT58" s="354"/>
      <c r="FU58" s="354"/>
      <c r="FV58" s="354"/>
      <c r="FW58" s="354"/>
      <c r="FX58" s="354"/>
      <c r="FY58" s="354"/>
      <c r="FZ58" s="354"/>
      <c r="GA58" s="354"/>
      <c r="GB58" s="354"/>
      <c r="GC58" s="354"/>
      <c r="GD58" s="354"/>
      <c r="GE58" s="354"/>
      <c r="GF58" s="354"/>
      <c r="GG58" s="354"/>
      <c r="GH58" s="354"/>
      <c r="GI58" s="354"/>
      <c r="GJ58" s="354"/>
      <c r="GK58" s="354"/>
      <c r="GL58" s="354"/>
      <c r="GM58" s="354"/>
      <c r="GN58" s="354"/>
      <c r="GO58" s="354"/>
      <c r="GP58" s="354"/>
      <c r="GQ58" s="354"/>
      <c r="GR58" s="354"/>
      <c r="GS58" s="354"/>
      <c r="GT58" s="354"/>
      <c r="GU58" s="354"/>
      <c r="GV58" s="354"/>
      <c r="GW58" s="354"/>
      <c r="GX58" s="354"/>
    </row>
    <row r="59" spans="1:206" s="247" customFormat="1" ht="9.9499999999999993" customHeight="1">
      <c r="A59" s="402" t="s">
        <v>125</v>
      </c>
      <c r="B59" s="248"/>
      <c r="C59" s="355" t="e">
        <f>#REF!</f>
        <v>#REF!</v>
      </c>
      <c r="D59" s="248"/>
      <c r="E59" s="355" t="e">
        <f>C59</f>
        <v>#REF!</v>
      </c>
      <c r="F59" s="355" t="e">
        <f>#REF!*1000</f>
        <v>#REF!</v>
      </c>
      <c r="G59" s="255"/>
      <c r="H59" s="354" t="e">
        <f>E59</f>
        <v>#REF!</v>
      </c>
      <c r="I59" s="354"/>
      <c r="J59" s="354"/>
      <c r="K59" s="354"/>
      <c r="L59" s="354"/>
      <c r="M59" s="277">
        <v>1074894377.3011999</v>
      </c>
      <c r="N59" s="259" t="e">
        <f>E59-M59</f>
        <v>#REF!</v>
      </c>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354"/>
      <c r="CA59" s="354"/>
      <c r="CB59" s="354"/>
      <c r="CC59" s="354"/>
      <c r="CD59" s="354"/>
      <c r="CE59" s="354"/>
      <c r="CF59" s="354"/>
      <c r="CG59" s="354"/>
      <c r="CH59" s="354"/>
      <c r="CI59" s="354"/>
      <c r="CJ59" s="354"/>
      <c r="CK59" s="354"/>
      <c r="CL59" s="354"/>
      <c r="CM59" s="354"/>
      <c r="CN59" s="354"/>
      <c r="CO59" s="354"/>
      <c r="CP59" s="354"/>
      <c r="CQ59" s="354"/>
      <c r="CR59" s="354"/>
      <c r="CS59" s="354"/>
      <c r="CT59" s="354"/>
      <c r="CU59" s="354"/>
      <c r="CV59" s="354"/>
      <c r="CW59" s="354"/>
      <c r="CX59" s="354"/>
      <c r="CY59" s="354"/>
      <c r="CZ59" s="354"/>
      <c r="DA59" s="354"/>
      <c r="DB59" s="354"/>
      <c r="DC59" s="354"/>
      <c r="DD59" s="354"/>
      <c r="DE59" s="354"/>
      <c r="DF59" s="354"/>
      <c r="DG59" s="354"/>
      <c r="DH59" s="354"/>
      <c r="DI59" s="354"/>
      <c r="DJ59" s="354"/>
      <c r="DK59" s="354"/>
      <c r="DL59" s="354"/>
      <c r="DM59" s="354"/>
      <c r="DN59" s="354"/>
      <c r="DO59" s="354"/>
      <c r="DP59" s="354"/>
      <c r="DQ59" s="354"/>
      <c r="DR59" s="354"/>
      <c r="DS59" s="354"/>
      <c r="DT59" s="354"/>
      <c r="DU59" s="354"/>
      <c r="DV59" s="354"/>
      <c r="DW59" s="354"/>
      <c r="DX59" s="354"/>
      <c r="DY59" s="354"/>
      <c r="DZ59" s="354"/>
      <c r="EA59" s="354"/>
      <c r="EB59" s="354"/>
      <c r="EC59" s="354"/>
      <c r="ED59" s="354"/>
      <c r="EE59" s="354"/>
      <c r="EF59" s="354"/>
      <c r="EG59" s="354"/>
      <c r="EH59" s="354"/>
      <c r="EI59" s="354"/>
      <c r="EJ59" s="354"/>
      <c r="EK59" s="354"/>
      <c r="EL59" s="354"/>
      <c r="EM59" s="354"/>
      <c r="EN59" s="354"/>
      <c r="EO59" s="354"/>
      <c r="EP59" s="354"/>
      <c r="EQ59" s="354"/>
      <c r="ER59" s="354"/>
      <c r="ES59" s="354"/>
      <c r="ET59" s="354"/>
      <c r="EU59" s="354"/>
      <c r="EV59" s="354"/>
      <c r="EW59" s="354"/>
      <c r="EX59" s="354"/>
      <c r="EY59" s="354"/>
      <c r="EZ59" s="354"/>
      <c r="FA59" s="354"/>
      <c r="FB59" s="354"/>
      <c r="FC59" s="354"/>
      <c r="FD59" s="354"/>
      <c r="FE59" s="354"/>
      <c r="FF59" s="354"/>
      <c r="FG59" s="354"/>
      <c r="FH59" s="354"/>
      <c r="FI59" s="354"/>
      <c r="FJ59" s="354"/>
      <c r="FK59" s="354"/>
      <c r="FL59" s="354"/>
      <c r="FM59" s="354"/>
      <c r="FN59" s="354"/>
      <c r="FO59" s="354"/>
      <c r="FP59" s="354"/>
      <c r="FQ59" s="354"/>
      <c r="FR59" s="354"/>
      <c r="FS59" s="354"/>
      <c r="FT59" s="354"/>
      <c r="FU59" s="354"/>
      <c r="FV59" s="354"/>
      <c r="FW59" s="354"/>
      <c r="FX59" s="354"/>
      <c r="FY59" s="354"/>
      <c r="FZ59" s="354"/>
      <c r="GA59" s="354"/>
      <c r="GB59" s="354"/>
      <c r="GC59" s="354"/>
      <c r="GD59" s="354"/>
      <c r="GE59" s="354"/>
      <c r="GF59" s="354"/>
      <c r="GG59" s="354"/>
      <c r="GH59" s="354"/>
      <c r="GI59" s="354"/>
      <c r="GJ59" s="354"/>
      <c r="GK59" s="354"/>
      <c r="GL59" s="354"/>
      <c r="GM59" s="354"/>
      <c r="GN59" s="354"/>
      <c r="GO59" s="354"/>
      <c r="GP59" s="354"/>
      <c r="GQ59" s="354"/>
      <c r="GR59" s="354"/>
      <c r="GS59" s="354"/>
      <c r="GT59" s="354"/>
      <c r="GU59" s="354"/>
      <c r="GV59" s="354"/>
      <c r="GW59" s="354"/>
      <c r="GX59" s="354"/>
    </row>
    <row r="60" spans="1:206" s="247" customFormat="1" ht="9.9499999999999993" customHeight="1">
      <c r="A60" s="469" t="s">
        <v>262</v>
      </c>
      <c r="B60" s="467"/>
      <c r="C60" s="468"/>
      <c r="D60" s="467"/>
      <c r="E60" s="477" t="e">
        <f>(E50-E12-E20)/(E59/1000)</f>
        <v>#REF!</v>
      </c>
      <c r="F60" s="255"/>
      <c r="G60" s="255"/>
      <c r="H60" s="354"/>
      <c r="I60" s="354"/>
      <c r="J60" s="354"/>
      <c r="K60" s="354"/>
      <c r="L60" s="354"/>
      <c r="M60" s="277"/>
      <c r="N60" s="259" t="e">
        <f>E60-M60</f>
        <v>#REF!</v>
      </c>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c r="CE60" s="354"/>
      <c r="CF60" s="354"/>
      <c r="CG60" s="354"/>
      <c r="CH60" s="354"/>
      <c r="CI60" s="354"/>
      <c r="CJ60" s="354"/>
      <c r="CK60" s="354"/>
      <c r="CL60" s="354"/>
      <c r="CM60" s="354"/>
      <c r="CN60" s="354"/>
      <c r="CO60" s="354"/>
      <c r="CP60" s="354"/>
      <c r="CQ60" s="354"/>
      <c r="CR60" s="354"/>
      <c r="CS60" s="354"/>
      <c r="CT60" s="354"/>
      <c r="CU60" s="354"/>
      <c r="CV60" s="354"/>
      <c r="CW60" s="354"/>
      <c r="CX60" s="354"/>
      <c r="CY60" s="354"/>
      <c r="CZ60" s="354"/>
      <c r="DA60" s="354"/>
      <c r="DB60" s="354"/>
      <c r="DC60" s="354"/>
      <c r="DD60" s="354"/>
      <c r="DE60" s="354"/>
      <c r="DF60" s="354"/>
      <c r="DG60" s="354"/>
      <c r="DH60" s="354"/>
      <c r="DI60" s="354"/>
      <c r="DJ60" s="354"/>
      <c r="DK60" s="354"/>
      <c r="DL60" s="354"/>
      <c r="DM60" s="354"/>
      <c r="DN60" s="354"/>
      <c r="DO60" s="354"/>
      <c r="DP60" s="354"/>
      <c r="DQ60" s="354"/>
      <c r="DR60" s="354"/>
      <c r="DS60" s="354"/>
      <c r="DT60" s="354"/>
      <c r="DU60" s="354"/>
      <c r="DV60" s="354"/>
      <c r="DW60" s="354"/>
      <c r="DX60" s="354"/>
      <c r="DY60" s="354"/>
      <c r="DZ60" s="354"/>
      <c r="EA60" s="354"/>
      <c r="EB60" s="354"/>
      <c r="EC60" s="354"/>
      <c r="ED60" s="354"/>
      <c r="EE60" s="354"/>
      <c r="EF60" s="354"/>
      <c r="EG60" s="354"/>
      <c r="EH60" s="354"/>
      <c r="EI60" s="354"/>
      <c r="EJ60" s="354"/>
      <c r="EK60" s="354"/>
      <c r="EL60" s="354"/>
      <c r="EM60" s="354"/>
      <c r="EN60" s="354"/>
      <c r="EO60" s="354"/>
      <c r="EP60" s="354"/>
      <c r="EQ60" s="354"/>
      <c r="ER60" s="354"/>
      <c r="ES60" s="354"/>
      <c r="ET60" s="354"/>
      <c r="EU60" s="354"/>
      <c r="EV60" s="354"/>
      <c r="EW60" s="354"/>
      <c r="EX60" s="354"/>
      <c r="EY60" s="354"/>
      <c r="EZ60" s="354"/>
      <c r="FA60" s="354"/>
      <c r="FB60" s="354"/>
      <c r="FC60" s="354"/>
      <c r="FD60" s="354"/>
      <c r="FE60" s="354"/>
      <c r="FF60" s="354"/>
      <c r="FG60" s="354"/>
      <c r="FH60" s="354"/>
      <c r="FI60" s="354"/>
      <c r="FJ60" s="354"/>
      <c r="FK60" s="354"/>
      <c r="FL60" s="354"/>
      <c r="FM60" s="354"/>
      <c r="FN60" s="354"/>
      <c r="FO60" s="354"/>
      <c r="FP60" s="354"/>
      <c r="FQ60" s="354"/>
      <c r="FR60" s="354"/>
      <c r="FS60" s="354"/>
      <c r="FT60" s="354"/>
      <c r="FU60" s="354"/>
      <c r="FV60" s="354"/>
      <c r="FW60" s="354"/>
      <c r="FX60" s="354"/>
      <c r="FY60" s="354"/>
      <c r="FZ60" s="354"/>
      <c r="GA60" s="354"/>
      <c r="GB60" s="354"/>
      <c r="GC60" s="354"/>
      <c r="GD60" s="354"/>
      <c r="GE60" s="354"/>
      <c r="GF60" s="354"/>
      <c r="GG60" s="354"/>
      <c r="GH60" s="354"/>
      <c r="GI60" s="354"/>
      <c r="GJ60" s="354"/>
      <c r="GK60" s="354"/>
      <c r="GL60" s="354"/>
      <c r="GM60" s="354"/>
      <c r="GN60" s="354"/>
      <c r="GO60" s="354"/>
      <c r="GP60" s="354"/>
      <c r="GQ60" s="354"/>
      <c r="GR60" s="354"/>
      <c r="GS60" s="354"/>
      <c r="GT60" s="354"/>
      <c r="GU60" s="354"/>
      <c r="GV60" s="354"/>
      <c r="GW60" s="354"/>
      <c r="GX60" s="354"/>
    </row>
    <row r="61" spans="1:206" s="247" customFormat="1" ht="10.5" hidden="1" thickBot="1">
      <c r="A61" s="469" t="s">
        <v>260</v>
      </c>
      <c r="B61" s="470"/>
      <c r="C61" s="403" t="e">
        <f>C57/(C59)</f>
        <v>#REF!</v>
      </c>
      <c r="D61" s="470"/>
      <c r="E61" s="471" t="e">
        <f>E57/(E59/1000)</f>
        <v>#REF!</v>
      </c>
      <c r="F61" s="403" t="e">
        <f>F57/(F59/1000)</f>
        <v>#REF!</v>
      </c>
      <c r="G61" s="255"/>
      <c r="H61" s="403" t="e">
        <f>H57/(H59/1000)</f>
        <v>#REF!</v>
      </c>
      <c r="I61" s="354"/>
      <c r="J61" s="354"/>
      <c r="K61" s="354"/>
      <c r="L61" s="354"/>
      <c r="M61" s="277">
        <v>4.0114359987872152</v>
      </c>
      <c r="N61" s="259" t="e">
        <f>E61-M61</f>
        <v>#REF!</v>
      </c>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c r="CE61" s="354"/>
      <c r="CF61" s="354"/>
      <c r="CG61" s="354"/>
      <c r="CH61" s="354"/>
      <c r="CI61" s="354"/>
      <c r="CJ61" s="354"/>
      <c r="CK61" s="354"/>
      <c r="CL61" s="354"/>
      <c r="CM61" s="354"/>
      <c r="CN61" s="354"/>
      <c r="CO61" s="354"/>
      <c r="CP61" s="354"/>
      <c r="CQ61" s="354"/>
      <c r="CR61" s="354"/>
      <c r="CS61" s="354"/>
      <c r="CT61" s="354"/>
      <c r="CU61" s="354"/>
      <c r="CV61" s="354"/>
      <c r="CW61" s="354"/>
      <c r="CX61" s="354"/>
      <c r="CY61" s="354"/>
      <c r="CZ61" s="354"/>
      <c r="DA61" s="354"/>
      <c r="DB61" s="354"/>
      <c r="DC61" s="354"/>
      <c r="DD61" s="354"/>
      <c r="DE61" s="354"/>
      <c r="DF61" s="354"/>
      <c r="DG61" s="354"/>
      <c r="DH61" s="354"/>
      <c r="DI61" s="354"/>
      <c r="DJ61" s="354"/>
      <c r="DK61" s="354"/>
      <c r="DL61" s="354"/>
      <c r="DM61" s="354"/>
      <c r="DN61" s="354"/>
      <c r="DO61" s="354"/>
      <c r="DP61" s="354"/>
      <c r="DQ61" s="354"/>
      <c r="DR61" s="354"/>
      <c r="DS61" s="354"/>
      <c r="DT61" s="354"/>
      <c r="DU61" s="354"/>
      <c r="DV61" s="354"/>
      <c r="DW61" s="354"/>
      <c r="DX61" s="354"/>
      <c r="DY61" s="354"/>
      <c r="DZ61" s="354"/>
      <c r="EA61" s="354"/>
      <c r="EB61" s="354"/>
      <c r="EC61" s="354"/>
      <c r="ED61" s="354"/>
      <c r="EE61" s="354"/>
      <c r="EF61" s="354"/>
      <c r="EG61" s="354"/>
      <c r="EH61" s="354"/>
      <c r="EI61" s="354"/>
      <c r="EJ61" s="354"/>
      <c r="EK61" s="354"/>
      <c r="EL61" s="354"/>
      <c r="EM61" s="354"/>
      <c r="EN61" s="354"/>
      <c r="EO61" s="354"/>
      <c r="EP61" s="354"/>
      <c r="EQ61" s="354"/>
      <c r="ER61" s="354"/>
      <c r="ES61" s="354"/>
      <c r="ET61" s="354"/>
      <c r="EU61" s="354"/>
      <c r="EV61" s="354"/>
      <c r="EW61" s="354"/>
      <c r="EX61" s="354"/>
      <c r="EY61" s="354"/>
      <c r="EZ61" s="354"/>
      <c r="FA61" s="354"/>
      <c r="FB61" s="354"/>
      <c r="FC61" s="354"/>
      <c r="FD61" s="354"/>
      <c r="FE61" s="354"/>
      <c r="FF61" s="354"/>
      <c r="FG61" s="354"/>
      <c r="FH61" s="354"/>
      <c r="FI61" s="354"/>
      <c r="FJ61" s="354"/>
      <c r="FK61" s="354"/>
      <c r="FL61" s="354"/>
      <c r="FM61" s="354"/>
      <c r="FN61" s="354"/>
      <c r="FO61" s="354"/>
      <c r="FP61" s="354"/>
      <c r="FQ61" s="354"/>
      <c r="FR61" s="354"/>
      <c r="FS61" s="354"/>
      <c r="FT61" s="354"/>
      <c r="FU61" s="354"/>
      <c r="FV61" s="354"/>
      <c r="FW61" s="354"/>
      <c r="FX61" s="354"/>
      <c r="FY61" s="354"/>
      <c r="FZ61" s="354"/>
      <c r="GA61" s="354"/>
      <c r="GB61" s="354"/>
      <c r="GC61" s="354"/>
      <c r="GD61" s="354"/>
      <c r="GE61" s="354"/>
      <c r="GF61" s="354"/>
      <c r="GG61" s="354"/>
      <c r="GH61" s="354"/>
      <c r="GI61" s="354"/>
      <c r="GJ61" s="354"/>
      <c r="GK61" s="354"/>
      <c r="GL61" s="354"/>
      <c r="GM61" s="354"/>
      <c r="GN61" s="354"/>
      <c r="GO61" s="354"/>
      <c r="GP61" s="354"/>
      <c r="GQ61" s="354"/>
      <c r="GR61" s="354"/>
      <c r="GS61" s="354"/>
      <c r="GT61" s="354"/>
      <c r="GU61" s="354"/>
      <c r="GV61" s="354"/>
      <c r="GW61" s="354"/>
      <c r="GX61" s="354"/>
    </row>
    <row r="62" spans="1:206" s="247" customFormat="1" ht="10.5" thickBot="1">
      <c r="A62" s="469" t="s">
        <v>259</v>
      </c>
      <c r="B62" s="470"/>
      <c r="C62" s="466"/>
      <c r="D62" s="470"/>
      <c r="E62" s="471" t="e">
        <f>(E50-E20)/(E59/1000)</f>
        <v>#REF!</v>
      </c>
      <c r="F62" s="466"/>
      <c r="G62" s="255"/>
      <c r="H62" s="466"/>
      <c r="I62" s="354"/>
      <c r="J62" s="354"/>
      <c r="K62" s="354"/>
      <c r="L62" s="354"/>
      <c r="M62" s="277"/>
      <c r="N62" s="259"/>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c r="CE62" s="354"/>
      <c r="CF62" s="354"/>
      <c r="CG62" s="354"/>
      <c r="CH62" s="354"/>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4"/>
      <c r="DF62" s="354"/>
      <c r="DG62" s="354"/>
      <c r="DH62" s="354"/>
      <c r="DI62" s="354"/>
      <c r="DJ62" s="354"/>
      <c r="DK62" s="354"/>
      <c r="DL62" s="354"/>
      <c r="DM62" s="354"/>
      <c r="DN62" s="354"/>
      <c r="DO62" s="354"/>
      <c r="DP62" s="354"/>
      <c r="DQ62" s="354"/>
      <c r="DR62" s="354"/>
      <c r="DS62" s="354"/>
      <c r="DT62" s="354"/>
      <c r="DU62" s="354"/>
      <c r="DV62" s="354"/>
      <c r="DW62" s="354"/>
      <c r="DX62" s="354"/>
      <c r="DY62" s="354"/>
      <c r="DZ62" s="354"/>
      <c r="EA62" s="354"/>
      <c r="EB62" s="354"/>
      <c r="EC62" s="354"/>
      <c r="ED62" s="354"/>
      <c r="EE62" s="354"/>
      <c r="EF62" s="354"/>
      <c r="EG62" s="354"/>
      <c r="EH62" s="354"/>
      <c r="EI62" s="354"/>
      <c r="EJ62" s="354"/>
      <c r="EK62" s="354"/>
      <c r="EL62" s="354"/>
      <c r="EM62" s="354"/>
      <c r="EN62" s="354"/>
      <c r="EO62" s="354"/>
      <c r="EP62" s="354"/>
      <c r="EQ62" s="354"/>
      <c r="ER62" s="354"/>
      <c r="ES62" s="354"/>
      <c r="ET62" s="354"/>
      <c r="EU62" s="354"/>
      <c r="EV62" s="354"/>
      <c r="EW62" s="354"/>
      <c r="EX62" s="354"/>
      <c r="EY62" s="354"/>
      <c r="EZ62" s="354"/>
      <c r="FA62" s="354"/>
      <c r="FB62" s="354"/>
      <c r="FC62" s="354"/>
      <c r="FD62" s="354"/>
      <c r="FE62" s="354"/>
      <c r="FF62" s="354"/>
      <c r="FG62" s="354"/>
      <c r="FH62" s="354"/>
      <c r="FI62" s="354"/>
      <c r="FJ62" s="354"/>
      <c r="FK62" s="354"/>
      <c r="FL62" s="354"/>
      <c r="FM62" s="354"/>
      <c r="FN62" s="354"/>
      <c r="FO62" s="354"/>
      <c r="FP62" s="354"/>
      <c r="FQ62" s="354"/>
      <c r="FR62" s="354"/>
      <c r="FS62" s="354"/>
      <c r="FT62" s="354"/>
      <c r="FU62" s="354"/>
      <c r="FV62" s="354"/>
      <c r="FW62" s="354"/>
      <c r="FX62" s="354"/>
      <c r="FY62" s="354"/>
      <c r="FZ62" s="354"/>
      <c r="GA62" s="354"/>
      <c r="GB62" s="354"/>
      <c r="GC62" s="354"/>
      <c r="GD62" s="354"/>
      <c r="GE62" s="354"/>
      <c r="GF62" s="354"/>
      <c r="GG62" s="354"/>
      <c r="GH62" s="354"/>
      <c r="GI62" s="354"/>
      <c r="GJ62" s="354"/>
      <c r="GK62" s="354"/>
      <c r="GL62" s="354"/>
      <c r="GM62" s="354"/>
      <c r="GN62" s="354"/>
      <c r="GO62" s="354"/>
      <c r="GP62" s="354"/>
      <c r="GQ62" s="354"/>
      <c r="GR62" s="354"/>
      <c r="GS62" s="354"/>
      <c r="GT62" s="354"/>
      <c r="GU62" s="354"/>
      <c r="GV62" s="354"/>
      <c r="GW62" s="354"/>
      <c r="GX62" s="354"/>
    </row>
    <row r="63" spans="1:206" s="247" customFormat="1" ht="11.25" thickTop="1" thickBot="1">
      <c r="A63" s="469" t="s">
        <v>261</v>
      </c>
      <c r="B63" s="470"/>
      <c r="C63" s="466"/>
      <c r="D63" s="470"/>
      <c r="E63" s="471" t="e">
        <f>E55</f>
        <v>#REF!</v>
      </c>
      <c r="F63" s="466"/>
      <c r="G63" s="255"/>
      <c r="H63" s="466"/>
      <c r="I63" s="354"/>
      <c r="J63" s="354"/>
      <c r="K63" s="354"/>
      <c r="L63" s="354"/>
      <c r="M63" s="277"/>
      <c r="N63" s="259"/>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c r="CE63" s="354"/>
      <c r="CF63" s="354"/>
      <c r="CG63" s="354"/>
      <c r="CH63" s="354"/>
      <c r="CI63" s="354"/>
      <c r="CJ63" s="354"/>
      <c r="CK63" s="354"/>
      <c r="CL63" s="354"/>
      <c r="CM63" s="354"/>
      <c r="CN63" s="354"/>
      <c r="CO63" s="354"/>
      <c r="CP63" s="354"/>
      <c r="CQ63" s="354"/>
      <c r="CR63" s="354"/>
      <c r="CS63" s="354"/>
      <c r="CT63" s="354"/>
      <c r="CU63" s="354"/>
      <c r="CV63" s="354"/>
      <c r="CW63" s="354"/>
      <c r="CX63" s="354"/>
      <c r="CY63" s="354"/>
      <c r="CZ63" s="354"/>
      <c r="DA63" s="354"/>
      <c r="DB63" s="354"/>
      <c r="DC63" s="354"/>
      <c r="DD63" s="354"/>
      <c r="DE63" s="354"/>
      <c r="DF63" s="354"/>
      <c r="DG63" s="354"/>
      <c r="DH63" s="354"/>
      <c r="DI63" s="354"/>
      <c r="DJ63" s="354"/>
      <c r="DK63" s="354"/>
      <c r="DL63" s="354"/>
      <c r="DM63" s="354"/>
      <c r="DN63" s="354"/>
      <c r="DO63" s="354"/>
      <c r="DP63" s="354"/>
      <c r="DQ63" s="354"/>
      <c r="DR63" s="354"/>
      <c r="DS63" s="354"/>
      <c r="DT63" s="354"/>
      <c r="DU63" s="354"/>
      <c r="DV63" s="354"/>
      <c r="DW63" s="354"/>
      <c r="DX63" s="354"/>
      <c r="DY63" s="354"/>
      <c r="DZ63" s="354"/>
      <c r="EA63" s="354"/>
      <c r="EB63" s="354"/>
      <c r="EC63" s="354"/>
      <c r="ED63" s="354"/>
      <c r="EE63" s="354"/>
      <c r="EF63" s="354"/>
      <c r="EG63" s="354"/>
      <c r="EH63" s="354"/>
      <c r="EI63" s="354"/>
      <c r="EJ63" s="354"/>
      <c r="EK63" s="354"/>
      <c r="EL63" s="354"/>
      <c r="EM63" s="354"/>
      <c r="EN63" s="354"/>
      <c r="EO63" s="354"/>
      <c r="EP63" s="354"/>
      <c r="EQ63" s="354"/>
      <c r="ER63" s="354"/>
      <c r="ES63" s="354"/>
      <c r="ET63" s="354"/>
      <c r="EU63" s="354"/>
      <c r="EV63" s="354"/>
      <c r="EW63" s="354"/>
      <c r="EX63" s="354"/>
      <c r="EY63" s="354"/>
      <c r="EZ63" s="354"/>
      <c r="FA63" s="354"/>
      <c r="FB63" s="354"/>
      <c r="FC63" s="354"/>
      <c r="FD63" s="354"/>
      <c r="FE63" s="354"/>
      <c r="FF63" s="354"/>
      <c r="FG63" s="354"/>
      <c r="FH63" s="354"/>
      <c r="FI63" s="354"/>
      <c r="FJ63" s="354"/>
      <c r="FK63" s="354"/>
      <c r="FL63" s="354"/>
      <c r="FM63" s="354"/>
      <c r="FN63" s="354"/>
      <c r="FO63" s="354"/>
      <c r="FP63" s="354"/>
      <c r="FQ63" s="354"/>
      <c r="FR63" s="354"/>
      <c r="FS63" s="354"/>
      <c r="FT63" s="354"/>
      <c r="FU63" s="354"/>
      <c r="FV63" s="354"/>
      <c r="FW63" s="354"/>
      <c r="FX63" s="354"/>
      <c r="FY63" s="354"/>
      <c r="FZ63" s="354"/>
      <c r="GA63" s="354"/>
      <c r="GB63" s="354"/>
      <c r="GC63" s="354"/>
      <c r="GD63" s="354"/>
      <c r="GE63" s="354"/>
      <c r="GF63" s="354"/>
      <c r="GG63" s="354"/>
      <c r="GH63" s="354"/>
      <c r="GI63" s="354"/>
      <c r="GJ63" s="354"/>
      <c r="GK63" s="354"/>
      <c r="GL63" s="354"/>
      <c r="GM63" s="354"/>
      <c r="GN63" s="354"/>
      <c r="GO63" s="354"/>
      <c r="GP63" s="354"/>
      <c r="GQ63" s="354"/>
      <c r="GR63" s="354"/>
      <c r="GS63" s="354"/>
      <c r="GT63" s="354"/>
      <c r="GU63" s="354"/>
      <c r="GV63" s="354"/>
      <c r="GW63" s="354"/>
      <c r="GX63" s="354"/>
    </row>
    <row r="64" spans="1:206" s="247" customFormat="1" ht="9.9499999999999993" customHeight="1" thickTop="1">
      <c r="A64" s="472"/>
      <c r="B64" s="473"/>
      <c r="C64" s="474"/>
      <c r="D64" s="473"/>
      <c r="E64" s="475"/>
      <c r="F64" s="466"/>
      <c r="G64" s="255"/>
      <c r="H64" s="466"/>
      <c r="I64" s="476" t="e">
        <f>E59/1000</f>
        <v>#REF!</v>
      </c>
      <c r="J64" s="354"/>
      <c r="K64" s="354"/>
      <c r="L64" s="354"/>
      <c r="M64" s="277"/>
      <c r="N64" s="259"/>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354"/>
      <c r="BE64" s="354"/>
      <c r="BF64" s="354"/>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c r="CE64" s="354"/>
      <c r="CF64" s="354"/>
      <c r="CG64" s="354"/>
      <c r="CH64" s="354"/>
      <c r="CI64" s="354"/>
      <c r="CJ64" s="354"/>
      <c r="CK64" s="354"/>
      <c r="CL64" s="354"/>
      <c r="CM64" s="354"/>
      <c r="CN64" s="354"/>
      <c r="CO64" s="354"/>
      <c r="CP64" s="354"/>
      <c r="CQ64" s="354"/>
      <c r="CR64" s="354"/>
      <c r="CS64" s="354"/>
      <c r="CT64" s="354"/>
      <c r="CU64" s="354"/>
      <c r="CV64" s="354"/>
      <c r="CW64" s="354"/>
      <c r="CX64" s="354"/>
      <c r="CY64" s="354"/>
      <c r="CZ64" s="354"/>
      <c r="DA64" s="354"/>
      <c r="DB64" s="354"/>
      <c r="DC64" s="354"/>
      <c r="DD64" s="354"/>
      <c r="DE64" s="354"/>
      <c r="DF64" s="354"/>
      <c r="DG64" s="354"/>
      <c r="DH64" s="354"/>
      <c r="DI64" s="354"/>
      <c r="DJ64" s="354"/>
      <c r="DK64" s="354"/>
      <c r="DL64" s="354"/>
      <c r="DM64" s="354"/>
      <c r="DN64" s="354"/>
      <c r="DO64" s="354"/>
      <c r="DP64" s="354"/>
      <c r="DQ64" s="354"/>
      <c r="DR64" s="354"/>
      <c r="DS64" s="354"/>
      <c r="DT64" s="354"/>
      <c r="DU64" s="354"/>
      <c r="DV64" s="354"/>
      <c r="DW64" s="354"/>
      <c r="DX64" s="354"/>
      <c r="DY64" s="354"/>
      <c r="DZ64" s="354"/>
      <c r="EA64" s="354"/>
      <c r="EB64" s="354"/>
      <c r="EC64" s="354"/>
      <c r="ED64" s="354"/>
      <c r="EE64" s="354"/>
      <c r="EF64" s="354"/>
      <c r="EG64" s="354"/>
      <c r="EH64" s="354"/>
      <c r="EI64" s="354"/>
      <c r="EJ64" s="354"/>
      <c r="EK64" s="354"/>
      <c r="EL64" s="354"/>
      <c r="EM64" s="354"/>
      <c r="EN64" s="354"/>
      <c r="EO64" s="354"/>
      <c r="EP64" s="354"/>
      <c r="EQ64" s="354"/>
      <c r="ER64" s="354"/>
      <c r="ES64" s="354"/>
      <c r="ET64" s="354"/>
      <c r="EU64" s="354"/>
      <c r="EV64" s="354"/>
      <c r="EW64" s="354"/>
      <c r="EX64" s="354"/>
      <c r="EY64" s="354"/>
      <c r="EZ64" s="354"/>
      <c r="FA64" s="354"/>
      <c r="FB64" s="354"/>
      <c r="FC64" s="354"/>
      <c r="FD64" s="354"/>
      <c r="FE64" s="354"/>
      <c r="FF64" s="354"/>
      <c r="FG64" s="354"/>
      <c r="FH64" s="354"/>
      <c r="FI64" s="354"/>
      <c r="FJ64" s="354"/>
      <c r="FK64" s="354"/>
      <c r="FL64" s="354"/>
      <c r="FM64" s="354"/>
      <c r="FN64" s="354"/>
      <c r="FO64" s="354"/>
      <c r="FP64" s="354"/>
      <c r="FQ64" s="354"/>
      <c r="FR64" s="354"/>
      <c r="FS64" s="354"/>
      <c r="FT64" s="354"/>
      <c r="FU64" s="354"/>
      <c r="FV64" s="354"/>
      <c r="FW64" s="354"/>
      <c r="FX64" s="354"/>
      <c r="FY64" s="354"/>
      <c r="FZ64" s="354"/>
      <c r="GA64" s="354"/>
      <c r="GB64" s="354"/>
      <c r="GC64" s="354"/>
      <c r="GD64" s="354"/>
      <c r="GE64" s="354"/>
      <c r="GF64" s="354"/>
      <c r="GG64" s="354"/>
      <c r="GH64" s="354"/>
      <c r="GI64" s="354"/>
      <c r="GJ64" s="354"/>
      <c r="GK64" s="354"/>
      <c r="GL64" s="354"/>
      <c r="GM64" s="354"/>
      <c r="GN64" s="354"/>
      <c r="GO64" s="354"/>
      <c r="GP64" s="354"/>
      <c r="GQ64" s="354"/>
      <c r="GR64" s="354"/>
      <c r="GS64" s="354"/>
      <c r="GT64" s="354"/>
      <c r="GU64" s="354"/>
      <c r="GV64" s="354"/>
      <c r="GW64" s="354"/>
      <c r="GX64" s="354"/>
    </row>
    <row r="65" spans="1:206" s="247" customFormat="1" ht="9.9499999999999993" customHeight="1">
      <c r="A65" s="250"/>
      <c r="B65" s="248"/>
      <c r="C65" s="466"/>
      <c r="D65" s="248"/>
      <c r="E65" s="466"/>
      <c r="F65" s="466"/>
      <c r="G65" s="255"/>
      <c r="H65" s="466"/>
      <c r="I65" s="354" t="e">
        <f>E50</f>
        <v>#REF!</v>
      </c>
      <c r="J65" s="354"/>
      <c r="K65" s="354"/>
      <c r="L65" s="354"/>
      <c r="M65" s="277"/>
      <c r="N65" s="259"/>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c r="BX65" s="354"/>
      <c r="BY65" s="354"/>
      <c r="BZ65" s="354"/>
      <c r="CA65" s="354"/>
      <c r="CB65" s="354"/>
      <c r="CC65" s="354"/>
      <c r="CD65" s="354"/>
      <c r="CE65" s="354"/>
      <c r="CF65" s="354"/>
      <c r="CG65" s="354"/>
      <c r="CH65" s="354"/>
      <c r="CI65" s="354"/>
      <c r="CJ65" s="354"/>
      <c r="CK65" s="354"/>
      <c r="CL65" s="354"/>
      <c r="CM65" s="354"/>
      <c r="CN65" s="354"/>
      <c r="CO65" s="354"/>
      <c r="CP65" s="354"/>
      <c r="CQ65" s="354"/>
      <c r="CR65" s="354"/>
      <c r="CS65" s="354"/>
      <c r="CT65" s="354"/>
      <c r="CU65" s="354"/>
      <c r="CV65" s="354"/>
      <c r="CW65" s="354"/>
      <c r="CX65" s="354"/>
      <c r="CY65" s="354"/>
      <c r="CZ65" s="354"/>
      <c r="DA65" s="354"/>
      <c r="DB65" s="354"/>
      <c r="DC65" s="354"/>
      <c r="DD65" s="354"/>
      <c r="DE65" s="354"/>
      <c r="DF65" s="354"/>
      <c r="DG65" s="354"/>
      <c r="DH65" s="354"/>
      <c r="DI65" s="354"/>
      <c r="DJ65" s="354"/>
      <c r="DK65" s="354"/>
      <c r="DL65" s="354"/>
      <c r="DM65" s="354"/>
      <c r="DN65" s="354"/>
      <c r="DO65" s="354"/>
      <c r="DP65" s="354"/>
      <c r="DQ65" s="354"/>
      <c r="DR65" s="354"/>
      <c r="DS65" s="354"/>
      <c r="DT65" s="354"/>
      <c r="DU65" s="354"/>
      <c r="DV65" s="354"/>
      <c r="DW65" s="354"/>
      <c r="DX65" s="354"/>
      <c r="DY65" s="354"/>
      <c r="DZ65" s="354"/>
      <c r="EA65" s="354"/>
      <c r="EB65" s="354"/>
      <c r="EC65" s="354"/>
      <c r="ED65" s="354"/>
      <c r="EE65" s="354"/>
      <c r="EF65" s="354"/>
      <c r="EG65" s="354"/>
      <c r="EH65" s="354"/>
      <c r="EI65" s="354"/>
      <c r="EJ65" s="354"/>
      <c r="EK65" s="354"/>
      <c r="EL65" s="354"/>
      <c r="EM65" s="354"/>
      <c r="EN65" s="354"/>
      <c r="EO65" s="354"/>
      <c r="EP65" s="354"/>
      <c r="EQ65" s="354"/>
      <c r="ER65" s="354"/>
      <c r="ES65" s="354"/>
      <c r="ET65" s="354"/>
      <c r="EU65" s="354"/>
      <c r="EV65" s="354"/>
      <c r="EW65" s="354"/>
      <c r="EX65" s="354"/>
      <c r="EY65" s="354"/>
      <c r="EZ65" s="354"/>
      <c r="FA65" s="354"/>
      <c r="FB65" s="354"/>
      <c r="FC65" s="354"/>
      <c r="FD65" s="354"/>
      <c r="FE65" s="354"/>
      <c r="FF65" s="354"/>
      <c r="FG65" s="354"/>
      <c r="FH65" s="354"/>
      <c r="FI65" s="354"/>
      <c r="FJ65" s="354"/>
      <c r="FK65" s="354"/>
      <c r="FL65" s="354"/>
      <c r="FM65" s="354"/>
      <c r="FN65" s="354"/>
      <c r="FO65" s="354"/>
      <c r="FP65" s="354"/>
      <c r="FQ65" s="354"/>
      <c r="FR65" s="354"/>
      <c r="FS65" s="354"/>
      <c r="FT65" s="354"/>
      <c r="FU65" s="354"/>
      <c r="FV65" s="354"/>
      <c r="FW65" s="354"/>
      <c r="FX65" s="354"/>
      <c r="FY65" s="354"/>
      <c r="FZ65" s="354"/>
      <c r="GA65" s="354"/>
      <c r="GB65" s="354"/>
      <c r="GC65" s="354"/>
      <c r="GD65" s="354"/>
      <c r="GE65" s="354"/>
      <c r="GF65" s="354"/>
      <c r="GG65" s="354"/>
      <c r="GH65" s="354"/>
      <c r="GI65" s="354"/>
      <c r="GJ65" s="354"/>
      <c r="GK65" s="354"/>
      <c r="GL65" s="354"/>
      <c r="GM65" s="354"/>
      <c r="GN65" s="354"/>
      <c r="GO65" s="354"/>
      <c r="GP65" s="354"/>
      <c r="GQ65" s="354"/>
      <c r="GR65" s="354"/>
      <c r="GS65" s="354"/>
      <c r="GT65" s="354"/>
      <c r="GU65" s="354"/>
      <c r="GV65" s="354"/>
      <c r="GW65" s="354"/>
      <c r="GX65" s="354"/>
    </row>
    <row r="66" spans="1:206" s="247" customFormat="1" ht="9.9499999999999993" customHeight="1">
      <c r="B66" s="248"/>
      <c r="C66" s="248"/>
      <c r="D66" s="248"/>
      <c r="E66" s="248"/>
      <c r="F66" s="255"/>
      <c r="G66" s="255"/>
      <c r="H66" s="354"/>
      <c r="I66" s="354" t="e">
        <f>I65-E12</f>
        <v>#REF!</v>
      </c>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354"/>
      <c r="CB66" s="354"/>
      <c r="CC66" s="354"/>
      <c r="CD66" s="354"/>
      <c r="CE66" s="354"/>
      <c r="CF66" s="354"/>
      <c r="CG66" s="354"/>
      <c r="CH66" s="354"/>
      <c r="CI66" s="354"/>
      <c r="CJ66" s="354"/>
      <c r="CK66" s="354"/>
      <c r="CL66" s="354"/>
      <c r="CM66" s="354"/>
      <c r="CN66" s="354"/>
      <c r="CO66" s="354"/>
      <c r="CP66" s="354"/>
      <c r="CQ66" s="354"/>
      <c r="CR66" s="354"/>
      <c r="CS66" s="354"/>
      <c r="CT66" s="354"/>
      <c r="CU66" s="354"/>
      <c r="CV66" s="354"/>
      <c r="CW66" s="354"/>
      <c r="CX66" s="354"/>
      <c r="CY66" s="354"/>
      <c r="CZ66" s="354"/>
      <c r="DA66" s="354"/>
      <c r="DB66" s="354"/>
      <c r="DC66" s="354"/>
      <c r="DD66" s="354"/>
      <c r="DE66" s="354"/>
      <c r="DF66" s="354"/>
      <c r="DG66" s="354"/>
      <c r="DH66" s="354"/>
      <c r="DI66" s="354"/>
      <c r="DJ66" s="354"/>
      <c r="DK66" s="354"/>
      <c r="DL66" s="354"/>
      <c r="DM66" s="354"/>
      <c r="DN66" s="354"/>
      <c r="DO66" s="354"/>
      <c r="DP66" s="354"/>
      <c r="DQ66" s="354"/>
      <c r="DR66" s="354"/>
      <c r="DS66" s="354"/>
      <c r="DT66" s="354"/>
      <c r="DU66" s="354"/>
      <c r="DV66" s="354"/>
      <c r="DW66" s="354"/>
      <c r="DX66" s="354"/>
      <c r="DY66" s="354"/>
      <c r="DZ66" s="354"/>
      <c r="EA66" s="354"/>
      <c r="EB66" s="354"/>
      <c r="EC66" s="354"/>
      <c r="ED66" s="354"/>
      <c r="EE66" s="354"/>
      <c r="EF66" s="354"/>
      <c r="EG66" s="354"/>
      <c r="EH66" s="354"/>
      <c r="EI66" s="354"/>
      <c r="EJ66" s="354"/>
      <c r="EK66" s="354"/>
      <c r="EL66" s="354"/>
      <c r="EM66" s="354"/>
      <c r="EN66" s="354"/>
      <c r="EO66" s="354"/>
      <c r="EP66" s="354"/>
      <c r="EQ66" s="354"/>
      <c r="ER66" s="354"/>
      <c r="ES66" s="354"/>
      <c r="ET66" s="354"/>
      <c r="EU66" s="354"/>
      <c r="EV66" s="354"/>
      <c r="EW66" s="354"/>
      <c r="EX66" s="354"/>
      <c r="EY66" s="354"/>
      <c r="EZ66" s="354"/>
      <c r="FA66" s="354"/>
      <c r="FB66" s="354"/>
      <c r="FC66" s="354"/>
      <c r="FD66" s="354"/>
      <c r="FE66" s="354"/>
      <c r="FF66" s="354"/>
      <c r="FG66" s="354"/>
      <c r="FH66" s="354"/>
      <c r="FI66" s="354"/>
      <c r="FJ66" s="354"/>
      <c r="FK66" s="354"/>
      <c r="FL66" s="354"/>
      <c r="FM66" s="354"/>
      <c r="FN66" s="354"/>
      <c r="FO66" s="354"/>
      <c r="FP66" s="354"/>
      <c r="FQ66" s="354"/>
      <c r="FR66" s="354"/>
      <c r="FS66" s="354"/>
      <c r="FT66" s="354"/>
      <c r="FU66" s="354"/>
      <c r="FV66" s="354"/>
      <c r="FW66" s="354"/>
      <c r="FX66" s="354"/>
      <c r="FY66" s="354"/>
      <c r="FZ66" s="354"/>
      <c r="GA66" s="354"/>
      <c r="GB66" s="354"/>
      <c r="GC66" s="354"/>
      <c r="GD66" s="354"/>
      <c r="GE66" s="354"/>
      <c r="GF66" s="354"/>
      <c r="GG66" s="354"/>
      <c r="GH66" s="354"/>
      <c r="GI66" s="354"/>
      <c r="GJ66" s="354"/>
      <c r="GK66" s="354"/>
      <c r="GL66" s="354"/>
      <c r="GM66" s="354"/>
      <c r="GN66" s="354"/>
      <c r="GO66" s="354"/>
      <c r="GP66" s="354"/>
      <c r="GQ66" s="354"/>
      <c r="GR66" s="354"/>
      <c r="GS66" s="354"/>
      <c r="GT66" s="354"/>
      <c r="GU66" s="354"/>
      <c r="GV66" s="354"/>
      <c r="GW66" s="354"/>
      <c r="GX66" s="354"/>
    </row>
    <row r="67" spans="1:206" s="247" customFormat="1" ht="9.9499999999999993" customHeight="1">
      <c r="B67" s="248"/>
      <c r="C67" s="248"/>
      <c r="D67" s="248"/>
      <c r="E67" s="248"/>
      <c r="F67" s="255"/>
      <c r="G67" s="255"/>
      <c r="H67" s="354"/>
      <c r="I67" s="354" t="e">
        <f>I65-E20</f>
        <v>#REF!</v>
      </c>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4"/>
      <c r="CA67" s="354"/>
      <c r="CB67" s="354"/>
      <c r="CC67" s="354"/>
      <c r="CD67" s="354"/>
      <c r="CE67" s="354"/>
      <c r="CF67" s="354"/>
      <c r="CG67" s="354"/>
      <c r="CH67" s="354"/>
      <c r="CI67" s="354"/>
      <c r="CJ67" s="354"/>
      <c r="CK67" s="354"/>
      <c r="CL67" s="354"/>
      <c r="CM67" s="354"/>
      <c r="CN67" s="354"/>
      <c r="CO67" s="354"/>
      <c r="CP67" s="354"/>
      <c r="CQ67" s="354"/>
      <c r="CR67" s="354"/>
      <c r="CS67" s="354"/>
      <c r="CT67" s="354"/>
      <c r="CU67" s="354"/>
      <c r="CV67" s="354"/>
      <c r="CW67" s="354"/>
      <c r="CX67" s="354"/>
      <c r="CY67" s="354"/>
      <c r="CZ67" s="354"/>
      <c r="DA67" s="354"/>
      <c r="DB67" s="354"/>
      <c r="DC67" s="354"/>
      <c r="DD67" s="354"/>
      <c r="DE67" s="354"/>
      <c r="DF67" s="354"/>
      <c r="DG67" s="354"/>
      <c r="DH67" s="354"/>
      <c r="DI67" s="354"/>
      <c r="DJ67" s="354"/>
      <c r="DK67" s="354"/>
      <c r="DL67" s="354"/>
      <c r="DM67" s="354"/>
      <c r="DN67" s="354"/>
      <c r="DO67" s="354"/>
      <c r="DP67" s="354"/>
      <c r="DQ67" s="354"/>
      <c r="DR67" s="354"/>
      <c r="DS67" s="354"/>
      <c r="DT67" s="354"/>
      <c r="DU67" s="354"/>
      <c r="DV67" s="354"/>
      <c r="DW67" s="354"/>
      <c r="DX67" s="354"/>
      <c r="DY67" s="354"/>
      <c r="DZ67" s="354"/>
      <c r="EA67" s="354"/>
      <c r="EB67" s="354"/>
      <c r="EC67" s="354"/>
      <c r="ED67" s="354"/>
      <c r="EE67" s="354"/>
      <c r="EF67" s="354"/>
      <c r="EG67" s="354"/>
      <c r="EH67" s="354"/>
      <c r="EI67" s="354"/>
      <c r="EJ67" s="354"/>
      <c r="EK67" s="354"/>
      <c r="EL67" s="354"/>
      <c r="EM67" s="354"/>
      <c r="EN67" s="354"/>
      <c r="EO67" s="354"/>
      <c r="EP67" s="354"/>
      <c r="EQ67" s="354"/>
      <c r="ER67" s="354"/>
      <c r="ES67" s="354"/>
      <c r="ET67" s="354"/>
      <c r="EU67" s="354"/>
      <c r="EV67" s="354"/>
      <c r="EW67" s="354"/>
      <c r="EX67" s="354"/>
      <c r="EY67" s="354"/>
      <c r="EZ67" s="354"/>
      <c r="FA67" s="354"/>
      <c r="FB67" s="354"/>
      <c r="FC67" s="354"/>
      <c r="FD67" s="354"/>
      <c r="FE67" s="354"/>
      <c r="FF67" s="354"/>
      <c r="FG67" s="354"/>
      <c r="FH67" s="354"/>
      <c r="FI67" s="354"/>
      <c r="FJ67" s="354"/>
      <c r="FK67" s="354"/>
      <c r="FL67" s="354"/>
      <c r="FM67" s="354"/>
      <c r="FN67" s="354"/>
      <c r="FO67" s="354"/>
      <c r="FP67" s="354"/>
      <c r="FQ67" s="354"/>
      <c r="FR67" s="354"/>
      <c r="FS67" s="354"/>
      <c r="FT67" s="354"/>
      <c r="FU67" s="354"/>
      <c r="FV67" s="354"/>
      <c r="FW67" s="354"/>
      <c r="FX67" s="354"/>
      <c r="FY67" s="354"/>
      <c r="FZ67" s="354"/>
      <c r="GA67" s="354"/>
      <c r="GB67" s="354"/>
      <c r="GC67" s="354"/>
      <c r="GD67" s="354"/>
      <c r="GE67" s="354"/>
      <c r="GF67" s="354"/>
      <c r="GG67" s="354"/>
      <c r="GH67" s="354"/>
      <c r="GI67" s="354"/>
      <c r="GJ67" s="354"/>
      <c r="GK67" s="354"/>
      <c r="GL67" s="354"/>
      <c r="GM67" s="354"/>
      <c r="GN67" s="354"/>
      <c r="GO67" s="354"/>
      <c r="GP67" s="354"/>
      <c r="GQ67" s="354"/>
      <c r="GR67" s="354"/>
      <c r="GS67" s="354"/>
      <c r="GT67" s="354"/>
      <c r="GU67" s="354"/>
      <c r="GV67" s="354"/>
      <c r="GW67" s="354"/>
      <c r="GX67" s="354"/>
    </row>
    <row r="68" spans="1:206" s="247" customFormat="1">
      <c r="A68" s="25"/>
      <c r="B68" s="35"/>
      <c r="C68" s="35"/>
      <c r="D68" s="35"/>
      <c r="E68" s="464" t="e">
        <f>E61*0.9</f>
        <v>#REF!</v>
      </c>
      <c r="F68" s="426" t="e">
        <f>F61*0.9</f>
        <v>#REF!</v>
      </c>
      <c r="G68" s="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4"/>
      <c r="CA68" s="354"/>
      <c r="CB68" s="354"/>
      <c r="CC68" s="354"/>
      <c r="CD68" s="354"/>
      <c r="CE68" s="354"/>
      <c r="CF68" s="354"/>
      <c r="CG68" s="354"/>
      <c r="CH68" s="354"/>
      <c r="CI68" s="354"/>
      <c r="CJ68" s="354"/>
      <c r="CK68" s="354"/>
      <c r="CL68" s="354"/>
      <c r="CM68" s="354"/>
      <c r="CN68" s="354"/>
      <c r="CO68" s="354"/>
      <c r="CP68" s="354"/>
      <c r="CQ68" s="354"/>
      <c r="CR68" s="354"/>
      <c r="CS68" s="354"/>
      <c r="CT68" s="354"/>
      <c r="CU68" s="354"/>
      <c r="CV68" s="354"/>
      <c r="CW68" s="354"/>
      <c r="CX68" s="354"/>
      <c r="CY68" s="354"/>
      <c r="CZ68" s="354"/>
      <c r="DA68" s="354"/>
      <c r="DB68" s="354"/>
      <c r="DC68" s="354"/>
      <c r="DD68" s="354"/>
      <c r="DE68" s="354"/>
      <c r="DF68" s="354"/>
      <c r="DG68" s="354"/>
      <c r="DH68" s="354"/>
      <c r="DI68" s="354"/>
      <c r="DJ68" s="354"/>
      <c r="DK68" s="354"/>
      <c r="DL68" s="354"/>
      <c r="DM68" s="354"/>
      <c r="DN68" s="354"/>
      <c r="DO68" s="354"/>
      <c r="DP68" s="354"/>
      <c r="DQ68" s="354"/>
      <c r="DR68" s="354"/>
      <c r="DS68" s="354"/>
      <c r="DT68" s="354"/>
      <c r="DU68" s="354"/>
      <c r="DV68" s="354"/>
      <c r="DW68" s="354"/>
      <c r="DX68" s="354"/>
      <c r="DY68" s="354"/>
      <c r="DZ68" s="354"/>
      <c r="EA68" s="354"/>
      <c r="EB68" s="354"/>
      <c r="EC68" s="354"/>
      <c r="ED68" s="354"/>
      <c r="EE68" s="354"/>
      <c r="EF68" s="354"/>
      <c r="EG68" s="354"/>
      <c r="EH68" s="354"/>
      <c r="EI68" s="354"/>
      <c r="EJ68" s="354"/>
      <c r="EK68" s="354"/>
      <c r="EL68" s="354"/>
      <c r="EM68" s="354"/>
      <c r="EN68" s="354"/>
      <c r="EO68" s="354"/>
      <c r="EP68" s="354"/>
      <c r="EQ68" s="354"/>
      <c r="ER68" s="354"/>
      <c r="ES68" s="354"/>
      <c r="ET68" s="354"/>
      <c r="EU68" s="354"/>
      <c r="EV68" s="354"/>
      <c r="EW68" s="354"/>
      <c r="EX68" s="354"/>
      <c r="EY68" s="354"/>
      <c r="EZ68" s="354"/>
      <c r="FA68" s="354"/>
      <c r="FB68" s="354"/>
      <c r="FC68" s="354"/>
      <c r="FD68" s="354"/>
      <c r="FE68" s="354"/>
      <c r="FF68" s="354"/>
      <c r="FG68" s="354"/>
      <c r="FH68" s="354"/>
      <c r="FI68" s="354"/>
      <c r="FJ68" s="354"/>
      <c r="FK68" s="354"/>
      <c r="FL68" s="354"/>
      <c r="FM68" s="354"/>
      <c r="FN68" s="354"/>
      <c r="FO68" s="354"/>
      <c r="FP68" s="354"/>
      <c r="FQ68" s="354"/>
      <c r="FR68" s="354"/>
      <c r="FS68" s="354"/>
      <c r="FT68" s="354"/>
      <c r="FU68" s="354"/>
      <c r="FV68" s="354"/>
      <c r="FW68" s="354"/>
      <c r="FX68" s="354"/>
      <c r="FY68" s="354"/>
      <c r="FZ68" s="354"/>
      <c r="GA68" s="354"/>
      <c r="GB68" s="354"/>
      <c r="GC68" s="354"/>
      <c r="GD68" s="354"/>
      <c r="GE68" s="354"/>
      <c r="GF68" s="354"/>
      <c r="GG68" s="354"/>
      <c r="GH68" s="354"/>
      <c r="GI68" s="354"/>
      <c r="GJ68" s="354"/>
      <c r="GK68" s="354"/>
      <c r="GL68" s="354"/>
      <c r="GM68" s="354"/>
      <c r="GN68" s="354"/>
      <c r="GO68" s="354"/>
      <c r="GP68" s="354"/>
      <c r="GQ68" s="354"/>
      <c r="GR68" s="354"/>
      <c r="GS68" s="354"/>
      <c r="GT68" s="354"/>
      <c r="GU68" s="354"/>
      <c r="GV68" s="354"/>
      <c r="GW68" s="354"/>
      <c r="GX68" s="354"/>
    </row>
    <row r="69" spans="1:206" s="4" customFormat="1" ht="15.75">
      <c r="A69" s="348" t="e">
        <f>BS!#REF!</f>
        <v>#REF!</v>
      </c>
      <c r="B69" s="407"/>
      <c r="C69" s="429"/>
      <c r="D69" s="429"/>
      <c r="E69" s="429"/>
      <c r="F69" s="407"/>
      <c r="G69" s="407"/>
      <c r="H69" s="13"/>
      <c r="I69" s="13" t="e">
        <f>E40</f>
        <v>#REF!</v>
      </c>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row>
    <row r="70" spans="1:206" s="244" customFormat="1">
      <c r="A70" s="4"/>
      <c r="B70" s="4"/>
      <c r="C70" s="4"/>
      <c r="D70" s="4"/>
      <c r="E70" s="4"/>
      <c r="F70" s="465"/>
      <c r="G70" s="13"/>
      <c r="H70" s="245"/>
      <c r="I70" s="245" t="e">
        <f>SUM(#REF!)</f>
        <v>#REF!</v>
      </c>
      <c r="J70" s="245" t="e">
        <f>SUM(#REF!)</f>
        <v>#REF!</v>
      </c>
      <c r="K70" s="245" t="e">
        <f>I70-J70</f>
        <v>#REF!</v>
      </c>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5"/>
      <c r="BR70" s="245"/>
      <c r="BS70" s="245"/>
      <c r="BT70" s="245"/>
      <c r="BU70" s="245"/>
      <c r="BV70" s="245"/>
      <c r="BW70" s="245"/>
      <c r="BX70" s="245"/>
      <c r="BY70" s="245"/>
      <c r="BZ70" s="245"/>
      <c r="CA70" s="245"/>
      <c r="CB70" s="245"/>
      <c r="CC70" s="245"/>
      <c r="CD70" s="245"/>
      <c r="CE70" s="245"/>
      <c r="CF70" s="245"/>
      <c r="CG70" s="245"/>
      <c r="CH70" s="245"/>
      <c r="CI70" s="245"/>
      <c r="CJ70" s="245"/>
      <c r="CK70" s="245"/>
      <c r="CL70" s="245"/>
      <c r="CM70" s="245"/>
      <c r="CN70" s="245"/>
      <c r="CO70" s="245"/>
      <c r="CP70" s="245"/>
      <c r="CQ70" s="245"/>
      <c r="CR70" s="245"/>
      <c r="CS70" s="245"/>
      <c r="CT70" s="245"/>
      <c r="CU70" s="245"/>
      <c r="CV70" s="245"/>
      <c r="CW70" s="245"/>
      <c r="CX70" s="245"/>
      <c r="CY70" s="245"/>
      <c r="CZ70" s="245"/>
      <c r="DA70" s="245"/>
      <c r="DB70" s="245"/>
      <c r="DC70" s="245"/>
      <c r="DD70" s="245"/>
      <c r="DE70" s="245"/>
      <c r="DF70" s="245"/>
      <c r="DG70" s="245"/>
      <c r="DH70" s="245"/>
      <c r="DI70" s="245"/>
      <c r="DJ70" s="245"/>
      <c r="DK70" s="245"/>
      <c r="DL70" s="245"/>
      <c r="DM70" s="245"/>
      <c r="DN70" s="245"/>
      <c r="DO70" s="245"/>
      <c r="DP70" s="245"/>
      <c r="DQ70" s="245"/>
      <c r="DR70" s="245"/>
      <c r="DS70" s="245"/>
      <c r="DT70" s="245"/>
      <c r="DU70" s="245"/>
      <c r="DV70" s="245"/>
      <c r="DW70" s="245"/>
      <c r="DX70" s="245"/>
      <c r="DY70" s="245"/>
      <c r="DZ70" s="245"/>
      <c r="EA70" s="245"/>
      <c r="EB70" s="245"/>
      <c r="EC70" s="245"/>
      <c r="ED70" s="245"/>
      <c r="EE70" s="245"/>
      <c r="EF70" s="245"/>
      <c r="EG70" s="245"/>
      <c r="EH70" s="245"/>
      <c r="EI70" s="245"/>
      <c r="EJ70" s="245"/>
      <c r="EK70" s="245"/>
      <c r="EL70" s="245"/>
      <c r="EM70" s="245"/>
      <c r="EN70" s="245"/>
      <c r="EO70" s="245"/>
      <c r="EP70" s="245"/>
      <c r="EQ70" s="245"/>
      <c r="ER70" s="245"/>
      <c r="ES70" s="245"/>
      <c r="ET70" s="245"/>
      <c r="EU70" s="245"/>
      <c r="EV70" s="245"/>
      <c r="EW70" s="245"/>
      <c r="EX70" s="245"/>
      <c r="EY70" s="245"/>
      <c r="EZ70" s="245"/>
      <c r="FA70" s="245"/>
      <c r="FB70" s="245"/>
      <c r="FC70" s="245"/>
      <c r="FD70" s="245"/>
      <c r="FE70" s="245"/>
      <c r="FF70" s="245"/>
      <c r="FG70" s="245"/>
      <c r="FH70" s="245"/>
      <c r="FI70" s="245"/>
      <c r="FJ70" s="245"/>
      <c r="FK70" s="245"/>
      <c r="FL70" s="245"/>
      <c r="FM70" s="245"/>
      <c r="FN70" s="245"/>
      <c r="FO70" s="245"/>
      <c r="FP70" s="245"/>
      <c r="FQ70" s="245"/>
      <c r="FR70" s="245"/>
      <c r="FS70" s="245"/>
      <c r="FT70" s="245"/>
      <c r="FU70" s="245"/>
      <c r="FV70" s="245"/>
      <c r="FW70" s="245"/>
      <c r="FX70" s="245"/>
      <c r="FY70" s="245"/>
      <c r="FZ70" s="245"/>
      <c r="GA70" s="245"/>
      <c r="GB70" s="245"/>
      <c r="GC70" s="245"/>
      <c r="GD70" s="245"/>
      <c r="GE70" s="245"/>
      <c r="GF70" s="245"/>
      <c r="GG70" s="245"/>
      <c r="GH70" s="245"/>
      <c r="GI70" s="245"/>
      <c r="GJ70" s="245"/>
      <c r="GK70" s="245"/>
      <c r="GL70" s="245"/>
      <c r="GM70" s="245"/>
      <c r="GN70" s="245"/>
      <c r="GO70" s="245"/>
      <c r="GP70" s="245"/>
      <c r="GQ70" s="245"/>
      <c r="GR70" s="245"/>
      <c r="GS70" s="245"/>
      <c r="GT70" s="245"/>
      <c r="GU70" s="245"/>
      <c r="GV70" s="245"/>
      <c r="GW70" s="245"/>
      <c r="GX70" s="245"/>
    </row>
    <row r="71" spans="1:206" s="4" customFormat="1">
      <c r="F71" s="465"/>
      <c r="G71" s="13"/>
      <c r="I71" s="14" t="e">
        <f>I69-I70</f>
        <v>#REF!</v>
      </c>
      <c r="K71" s="14" t="e">
        <f>I69-K70</f>
        <v>#REF!</v>
      </c>
    </row>
    <row r="72" spans="1:206" s="4" customFormat="1">
      <c r="A72" s="282">
        <f>+BS!A53</f>
        <v>0</v>
      </c>
      <c r="B72" s="3"/>
      <c r="C72" s="3"/>
      <c r="D72" s="3"/>
      <c r="E72" s="3"/>
      <c r="F72" s="3"/>
      <c r="G72" s="3"/>
      <c r="K72" s="4" t="e">
        <f>#REF!</f>
        <v>#REF!</v>
      </c>
    </row>
    <row r="73" spans="1:206" s="4" customFormat="1">
      <c r="A73" s="282" t="str">
        <f>+BS!A56</f>
        <v xml:space="preserve">              '-sd-                                                                                                        -sd-                                                                                               -sd-</v>
      </c>
      <c r="B73" s="3"/>
      <c r="C73" s="3"/>
      <c r="D73" s="3"/>
      <c r="E73" s="3"/>
      <c r="F73" s="3"/>
      <c r="G73" s="3"/>
      <c r="K73" s="14" t="e">
        <f>K71-K72</f>
        <v>#REF!</v>
      </c>
    </row>
    <row r="74" spans="1:206" s="4" customFormat="1">
      <c r="A74" s="26"/>
      <c r="B74" s="3"/>
      <c r="C74" s="3"/>
      <c r="D74" s="3"/>
      <c r="E74" s="3"/>
      <c r="F74" s="3"/>
      <c r="G74" s="3"/>
    </row>
    <row r="75" spans="1:206" s="4" customFormat="1">
      <c r="B75" s="408"/>
      <c r="C75" s="428"/>
      <c r="D75" s="428"/>
      <c r="E75" s="428"/>
      <c r="F75" s="408"/>
      <c r="G75" s="408"/>
    </row>
    <row r="76" spans="1:206" s="4" customFormat="1">
      <c r="A76" s="282" t="e">
        <f>+BS!#REF!</f>
        <v>#REF!</v>
      </c>
      <c r="B76" s="27"/>
      <c r="C76" s="27"/>
      <c r="D76" s="27"/>
      <c r="E76" s="27"/>
      <c r="F76" s="28"/>
      <c r="G76" s="27"/>
    </row>
    <row r="77" spans="1:206" s="29" customFormat="1">
      <c r="A77" s="4"/>
      <c r="B77" s="4"/>
      <c r="C77" s="4"/>
      <c r="D77" s="4"/>
      <c r="E77" s="4"/>
      <c r="F77" s="5"/>
      <c r="G77" s="6"/>
    </row>
    <row r="78" spans="1:206" s="29" customFormat="1">
      <c r="A78" s="4"/>
      <c r="B78" s="4"/>
      <c r="C78" s="4"/>
      <c r="D78" s="4"/>
      <c r="E78" s="4"/>
      <c r="F78" s="5"/>
      <c r="G78" s="6"/>
    </row>
    <row r="79" spans="1:206" s="4" customFormat="1">
      <c r="F79" s="5"/>
      <c r="G79" s="6"/>
    </row>
    <row r="80" spans="1:206" s="4" customFormat="1">
      <c r="A80" s="3" t="e">
        <f>+BS!#REF!</f>
        <v>#REF!</v>
      </c>
      <c r="B80" s="26"/>
      <c r="C80" s="26"/>
      <c r="D80" s="26"/>
      <c r="E80" s="26"/>
      <c r="F80" s="288"/>
      <c r="G80" s="39"/>
    </row>
    <row r="81" spans="1:7" s="51" customFormat="1">
      <c r="A81" s="3" t="e">
        <f>+BS!#REF!</f>
        <v>#REF!</v>
      </c>
      <c r="B81" s="26"/>
      <c r="C81" s="26"/>
      <c r="D81" s="26"/>
      <c r="E81" s="26"/>
      <c r="F81" s="288"/>
      <c r="G81" s="39"/>
    </row>
    <row r="82" spans="1:7" s="51" customFormat="1">
      <c r="A82" s="25"/>
      <c r="B82" s="25"/>
      <c r="C82" s="25"/>
      <c r="D82" s="25"/>
      <c r="E82" s="25"/>
      <c r="F82" s="25"/>
      <c r="G82" s="25"/>
    </row>
    <row r="84" spans="1:7">
      <c r="A84" s="691"/>
      <c r="B84" s="691"/>
      <c r="C84" s="691"/>
      <c r="D84" s="691"/>
      <c r="E84" s="691"/>
      <c r="F84" s="691"/>
      <c r="G84" s="691"/>
    </row>
    <row r="88" spans="1:7">
      <c r="B88" s="25"/>
      <c r="C88" s="25"/>
      <c r="D88" s="25"/>
      <c r="E88" s="25"/>
      <c r="F88" s="38">
        <f>F50-F43</f>
        <v>22222</v>
      </c>
    </row>
    <row r="89" spans="1:7">
      <c r="B89" s="25"/>
      <c r="C89" s="25"/>
      <c r="D89" s="25"/>
      <c r="E89" s="25"/>
      <c r="F89" s="427" t="e">
        <f>F59/1000</f>
        <v>#REF!</v>
      </c>
    </row>
    <row r="90" spans="1:7">
      <c r="B90" s="25"/>
      <c r="C90" s="25"/>
      <c r="D90" s="25"/>
      <c r="E90" s="25"/>
      <c r="F90" s="186" t="e">
        <f>F88/F89</f>
        <v>#REF!</v>
      </c>
    </row>
    <row r="91" spans="1:7">
      <c r="B91" s="25"/>
      <c r="C91" s="25"/>
      <c r="D91" s="25"/>
      <c r="E91" s="25"/>
      <c r="F91" s="38">
        <f>F57-F43</f>
        <v>22222</v>
      </c>
    </row>
    <row r="92" spans="1:7">
      <c r="B92" s="25"/>
      <c r="C92" s="25"/>
      <c r="D92" s="25"/>
      <c r="E92" s="25"/>
      <c r="F92" s="427" t="e">
        <f>F91/F89</f>
        <v>#REF!</v>
      </c>
    </row>
    <row r="97" spans="2:6">
      <c r="B97" s="25"/>
      <c r="C97" s="25"/>
      <c r="D97" s="25"/>
      <c r="E97" s="25"/>
      <c r="F97" s="38">
        <f>F40</f>
        <v>22222</v>
      </c>
    </row>
  </sheetData>
  <mergeCells count="1">
    <mergeCell ref="A84:G84"/>
  </mergeCells>
  <printOptions horizontalCentered="1" gridLines="1"/>
  <pageMargins left="0.75" right="0.5" top="0.5" bottom="0.25" header="0.5" footer="0.5"/>
  <pageSetup paperSize="9" fitToWidth="12" fitToHeight="12" orientation="landscape" r:id="rId1"/>
  <headerFooter alignWithMargins="0"/>
  <colBreaks count="1" manualBreakCount="1">
    <brk id="5" max="5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5"/>
  <sheetViews>
    <sheetView topLeftCell="A13" workbookViewId="0">
      <selection activeCell="A90" sqref="A90"/>
    </sheetView>
  </sheetViews>
  <sheetFormatPr defaultRowHeight="12.75"/>
  <cols>
    <col min="1" max="16384" width="9" style="356"/>
  </cols>
  <sheetData>
    <row r="35" ht="30.75" customHeight="1"/>
  </sheetData>
  <customSheetViews>
    <customSheetView guid="{84FBBE83-FF6F-4C76-A58E-D04643F715A5}" showPageBreaks="1" fitToPage="1" topLeftCell="A13">
      <selection activeCell="K26" sqref="K26"/>
      <pageMargins left="0.75" right="0.75" top="1" bottom="1" header="0.5" footer="0.5"/>
      <pageSetup scale="93" orientation="portrait" r:id="rId1"/>
      <headerFooter alignWithMargins="0"/>
    </customSheetView>
  </customSheetViews>
  <pageMargins left="0.75" right="0.75" top="1" bottom="1" header="0.5" footer="0.5"/>
  <pageSetup scale="9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sheetPr>
  <dimension ref="A1:P57"/>
  <sheetViews>
    <sheetView view="pageBreakPreview" topLeftCell="D35" zoomScaleSheetLayoutView="100" workbookViewId="0">
      <selection activeCell="D59" sqref="A59:XFD75"/>
    </sheetView>
  </sheetViews>
  <sheetFormatPr defaultRowHeight="12"/>
  <cols>
    <col min="1" max="1" width="5.125" style="4" customWidth="1"/>
    <col min="2" max="2" width="3.625" style="4" customWidth="1"/>
    <col min="3" max="3" width="39.875" style="4" customWidth="1"/>
    <col min="4" max="4" width="4.375" style="4" customWidth="1"/>
    <col min="5" max="5" width="4.125" style="5" hidden="1" customWidth="1"/>
    <col min="6" max="6" width="10.375" style="511" hidden="1" customWidth="1"/>
    <col min="7" max="7" width="0.375" style="4" customWidth="1"/>
    <col min="8" max="8" width="10.5" style="6" bestFit="1" customWidth="1"/>
    <col min="9" max="9" width="0.375" style="4" customWidth="1"/>
    <col min="10" max="10" width="9.625" style="6" bestFit="1" customWidth="1"/>
    <col min="11" max="11" width="0.5" style="4" customWidth="1"/>
    <col min="12" max="12" width="10.75" style="6" customWidth="1"/>
    <col min="13" max="13" width="0.75" style="6" customWidth="1"/>
    <col min="14" max="14" width="10.5" style="6" bestFit="1" customWidth="1"/>
    <col min="15" max="15" width="0.5" style="6" customWidth="1"/>
    <col min="16" max="16" width="11.375" style="6" customWidth="1"/>
    <col min="17" max="16384" width="9" style="4"/>
  </cols>
  <sheetData>
    <row r="1" spans="1:16">
      <c r="A1" s="2" t="s">
        <v>267</v>
      </c>
      <c r="B1" s="2"/>
      <c r="C1" s="2"/>
      <c r="D1" s="2"/>
      <c r="E1" s="2"/>
      <c r="F1" s="508"/>
      <c r="G1" s="2"/>
      <c r="H1" s="2"/>
      <c r="I1" s="2"/>
      <c r="J1" s="2"/>
      <c r="K1" s="2"/>
      <c r="L1" s="2"/>
      <c r="M1" s="2"/>
      <c r="N1" s="2"/>
      <c r="O1" s="2"/>
      <c r="P1" s="2"/>
    </row>
    <row r="2" spans="1:16">
      <c r="A2" s="459" t="s">
        <v>250</v>
      </c>
      <c r="B2" s="2"/>
      <c r="C2" s="2"/>
      <c r="D2" s="2"/>
      <c r="E2" s="2"/>
      <c r="F2" s="508"/>
      <c r="G2" s="2"/>
      <c r="H2" s="2"/>
      <c r="I2" s="2"/>
      <c r="J2" s="2"/>
      <c r="K2" s="2"/>
      <c r="L2" s="2"/>
      <c r="M2" s="2"/>
      <c r="N2" s="2"/>
      <c r="O2" s="2"/>
      <c r="P2" s="2"/>
    </row>
    <row r="3" spans="1:16">
      <c r="A3" s="2" t="s">
        <v>316</v>
      </c>
      <c r="B3" s="2"/>
      <c r="C3" s="2"/>
      <c r="D3" s="2"/>
      <c r="E3" s="2"/>
      <c r="F3" s="508"/>
      <c r="G3" s="2"/>
      <c r="H3" s="2"/>
      <c r="I3" s="2"/>
      <c r="J3" s="2"/>
      <c r="K3" s="2"/>
      <c r="L3" s="2"/>
      <c r="M3" s="2"/>
      <c r="N3" s="2"/>
      <c r="O3" s="2"/>
      <c r="P3" s="2"/>
    </row>
    <row r="4" spans="1:16" ht="11.25" customHeight="1">
      <c r="A4" s="459"/>
      <c r="B4" s="2"/>
      <c r="C4" s="2"/>
      <c r="D4" s="2"/>
      <c r="E4" s="2"/>
      <c r="F4" s="508"/>
      <c r="G4" s="2"/>
      <c r="H4" s="692" t="s">
        <v>328</v>
      </c>
      <c r="I4" s="693"/>
      <c r="J4" s="693"/>
      <c r="K4" s="693"/>
      <c r="L4" s="693"/>
      <c r="M4" s="693"/>
      <c r="N4" s="694"/>
      <c r="O4" s="541"/>
      <c r="P4" s="544" t="s">
        <v>194</v>
      </c>
    </row>
    <row r="5" spans="1:16" ht="10.5" customHeight="1">
      <c r="B5" s="2"/>
      <c r="C5" s="2"/>
      <c r="D5" s="2"/>
      <c r="E5" s="2"/>
      <c r="F5" s="508"/>
      <c r="G5" s="2"/>
      <c r="H5" s="695"/>
      <c r="I5" s="696"/>
      <c r="J5" s="696"/>
      <c r="K5" s="696"/>
      <c r="L5" s="696"/>
      <c r="M5" s="696"/>
      <c r="N5" s="697"/>
      <c r="O5" s="542"/>
      <c r="P5" s="543" t="s">
        <v>329</v>
      </c>
    </row>
    <row r="6" spans="1:16" ht="48" customHeight="1">
      <c r="D6" s="4" t="s">
        <v>147</v>
      </c>
      <c r="E6" s="246"/>
      <c r="F6" s="509" t="s">
        <v>267</v>
      </c>
      <c r="H6" s="539" t="s">
        <v>323</v>
      </c>
      <c r="J6" s="539" t="s">
        <v>324</v>
      </c>
      <c r="L6" s="540" t="s">
        <v>325</v>
      </c>
      <c r="M6" s="538"/>
      <c r="N6" s="540" t="s">
        <v>215</v>
      </c>
      <c r="O6" s="545"/>
      <c r="P6" s="540" t="s">
        <v>215</v>
      </c>
    </row>
    <row r="7" spans="1:16" hidden="1">
      <c r="E7" s="246"/>
      <c r="F7" s="510" t="s">
        <v>141</v>
      </c>
      <c r="G7" s="432"/>
      <c r="H7" s="546" t="s">
        <v>141</v>
      </c>
      <c r="I7" s="432"/>
      <c r="J7" s="546" t="s">
        <v>141</v>
      </c>
      <c r="K7" s="432"/>
      <c r="L7" s="546" t="s">
        <v>141</v>
      </c>
      <c r="M7" s="505"/>
      <c r="N7" s="505"/>
      <c r="O7" s="505"/>
      <c r="P7" s="505"/>
    </row>
    <row r="8" spans="1:16" ht="14.25" customHeight="1">
      <c r="E8" s="4"/>
      <c r="F8" s="534"/>
      <c r="G8" s="547"/>
      <c r="H8" s="698" t="s">
        <v>334</v>
      </c>
      <c r="I8" s="699"/>
      <c r="J8" s="699"/>
      <c r="K8" s="699"/>
      <c r="L8" s="699"/>
      <c r="M8" s="699"/>
      <c r="N8" s="699"/>
      <c r="O8" s="699"/>
      <c r="P8" s="699"/>
    </row>
    <row r="9" spans="1:16">
      <c r="A9" s="384" t="s">
        <v>148</v>
      </c>
      <c r="B9" s="384"/>
      <c r="C9" s="384"/>
    </row>
    <row r="10" spans="1:16">
      <c r="A10" s="384"/>
      <c r="B10" s="384"/>
      <c r="C10" s="384"/>
    </row>
    <row r="11" spans="1:16">
      <c r="A11" s="4" t="s">
        <v>134</v>
      </c>
      <c r="B11" s="10"/>
      <c r="C11" s="10"/>
      <c r="E11" s="11"/>
      <c r="F11" s="512">
        <v>172106.78</v>
      </c>
      <c r="G11" s="13"/>
      <c r="H11" s="12">
        <v>11773.681</v>
      </c>
      <c r="I11" s="13"/>
      <c r="J11" s="12">
        <v>78314.826000000001</v>
      </c>
      <c r="K11" s="13"/>
      <c r="L11" s="12">
        <v>82018.273000000001</v>
      </c>
      <c r="M11" s="13"/>
      <c r="N11" s="12">
        <v>172106.78</v>
      </c>
      <c r="O11" s="13"/>
      <c r="P11" s="12">
        <v>228545</v>
      </c>
    </row>
    <row r="12" spans="1:16">
      <c r="A12" s="4" t="s">
        <v>278</v>
      </c>
      <c r="B12" s="10"/>
      <c r="C12" s="10"/>
      <c r="D12" s="360">
        <v>3</v>
      </c>
      <c r="E12" s="84"/>
      <c r="F12" s="513">
        <v>85768.523000000001</v>
      </c>
      <c r="G12" s="6"/>
      <c r="H12" s="15">
        <v>85768.523000000001</v>
      </c>
      <c r="I12" s="6"/>
      <c r="J12" s="15">
        <v>0</v>
      </c>
      <c r="K12" s="6"/>
      <c r="L12" s="15">
        <v>0</v>
      </c>
      <c r="M12" s="13"/>
      <c r="N12" s="15">
        <v>85768.523000000001</v>
      </c>
      <c r="O12" s="13"/>
      <c r="P12" s="15">
        <v>26193</v>
      </c>
    </row>
    <row r="13" spans="1:16" hidden="1">
      <c r="A13" s="4" t="s">
        <v>279</v>
      </c>
      <c r="B13" s="10"/>
      <c r="C13" s="10"/>
      <c r="E13" s="84"/>
      <c r="F13" s="513">
        <v>0</v>
      </c>
      <c r="G13" s="6"/>
      <c r="H13" s="15">
        <v>0</v>
      </c>
      <c r="I13" s="6"/>
      <c r="J13" s="15">
        <v>0</v>
      </c>
      <c r="K13" s="6"/>
      <c r="L13" s="15">
        <v>0</v>
      </c>
      <c r="M13" s="13"/>
      <c r="N13" s="15">
        <v>0</v>
      </c>
      <c r="O13" s="13"/>
      <c r="P13" s="15"/>
    </row>
    <row r="14" spans="1:16" hidden="1">
      <c r="A14" s="4" t="s">
        <v>280</v>
      </c>
      <c r="B14" s="10"/>
      <c r="C14" s="10"/>
      <c r="E14" s="84"/>
      <c r="F14" s="513">
        <v>0</v>
      </c>
      <c r="G14" s="6"/>
      <c r="H14" s="15">
        <v>0</v>
      </c>
      <c r="I14" s="6"/>
      <c r="J14" s="15">
        <v>0</v>
      </c>
      <c r="K14" s="6"/>
      <c r="L14" s="15">
        <v>0</v>
      </c>
      <c r="M14" s="13"/>
      <c r="N14" s="15">
        <v>0</v>
      </c>
      <c r="O14" s="13"/>
      <c r="P14" s="15"/>
    </row>
    <row r="15" spans="1:16" hidden="1">
      <c r="A15" s="4" t="s">
        <v>281</v>
      </c>
      <c r="B15" s="10"/>
      <c r="C15" s="10"/>
      <c r="E15" s="84"/>
      <c r="F15" s="513">
        <v>0</v>
      </c>
      <c r="G15" s="6"/>
      <c r="H15" s="15">
        <v>0</v>
      </c>
      <c r="I15" s="6"/>
      <c r="J15" s="15">
        <v>0</v>
      </c>
      <c r="K15" s="6"/>
      <c r="L15" s="15">
        <v>0</v>
      </c>
      <c r="M15" s="13"/>
      <c r="N15" s="15">
        <v>0</v>
      </c>
      <c r="O15" s="13"/>
      <c r="P15" s="15"/>
    </row>
    <row r="16" spans="1:16" hidden="1">
      <c r="A16" s="4" t="s">
        <v>282</v>
      </c>
      <c r="B16" s="10"/>
      <c r="C16" s="10"/>
      <c r="E16" s="84"/>
      <c r="F16" s="513">
        <v>0</v>
      </c>
      <c r="G16" s="6"/>
      <c r="H16" s="15">
        <v>0</v>
      </c>
      <c r="I16" s="6"/>
      <c r="J16" s="15">
        <v>0</v>
      </c>
      <c r="K16" s="6"/>
      <c r="L16" s="15">
        <v>0</v>
      </c>
      <c r="M16" s="13"/>
      <c r="N16" s="15">
        <v>0</v>
      </c>
      <c r="O16" s="13"/>
      <c r="P16" s="15"/>
    </row>
    <row r="17" spans="1:16" hidden="1">
      <c r="A17" s="4" t="s">
        <v>283</v>
      </c>
      <c r="B17" s="10"/>
      <c r="C17" s="10"/>
      <c r="E17" s="84"/>
      <c r="F17" s="513">
        <v>0</v>
      </c>
      <c r="G17" s="6"/>
      <c r="H17" s="15">
        <v>0</v>
      </c>
      <c r="I17" s="6"/>
      <c r="J17" s="15">
        <v>0</v>
      </c>
      <c r="K17" s="6"/>
      <c r="L17" s="15">
        <v>0</v>
      </c>
      <c r="M17" s="13"/>
      <c r="N17" s="15">
        <v>0</v>
      </c>
      <c r="O17" s="13"/>
      <c r="P17" s="15"/>
    </row>
    <row r="18" spans="1:16" hidden="1">
      <c r="A18" s="4" t="s">
        <v>249</v>
      </c>
      <c r="B18" s="10"/>
      <c r="C18" s="10"/>
      <c r="E18" s="84"/>
      <c r="F18" s="513">
        <v>0</v>
      </c>
      <c r="G18" s="6"/>
      <c r="H18" s="15">
        <v>0</v>
      </c>
      <c r="I18" s="6"/>
      <c r="J18" s="15">
        <v>0</v>
      </c>
      <c r="K18" s="6"/>
      <c r="L18" s="15">
        <v>0</v>
      </c>
      <c r="M18" s="13"/>
      <c r="N18" s="15">
        <v>0</v>
      </c>
      <c r="O18" s="13"/>
      <c r="P18" s="15"/>
    </row>
    <row r="19" spans="1:16" hidden="1">
      <c r="A19" s="4" t="s">
        <v>166</v>
      </c>
      <c r="B19" s="10"/>
      <c r="C19" s="10"/>
      <c r="E19" s="84"/>
      <c r="F19" s="513">
        <v>0</v>
      </c>
      <c r="G19" s="6"/>
      <c r="H19" s="15">
        <v>0</v>
      </c>
      <c r="I19" s="6"/>
      <c r="J19" s="15">
        <v>0</v>
      </c>
      <c r="K19" s="6"/>
      <c r="L19" s="15">
        <v>0</v>
      </c>
      <c r="M19" s="13"/>
      <c r="N19" s="15">
        <v>0</v>
      </c>
      <c r="O19" s="13"/>
      <c r="P19" s="15"/>
    </row>
    <row r="20" spans="1:16">
      <c r="A20" s="4" t="s">
        <v>256</v>
      </c>
      <c r="B20" s="10"/>
      <c r="C20" s="10"/>
      <c r="D20" s="360">
        <v>4</v>
      </c>
      <c r="E20" s="85"/>
      <c r="F20" s="513">
        <v>2441.7650000000003</v>
      </c>
      <c r="G20" s="6"/>
      <c r="H20" s="15">
        <v>1266.8430000000001</v>
      </c>
      <c r="I20" s="6"/>
      <c r="J20" s="15">
        <v>515.69000000000005</v>
      </c>
      <c r="K20" s="6"/>
      <c r="L20" s="15">
        <v>659.23199999999997</v>
      </c>
      <c r="M20" s="13"/>
      <c r="N20" s="15">
        <v>2441.7650000000003</v>
      </c>
      <c r="O20" s="13"/>
      <c r="P20" s="15">
        <v>531</v>
      </c>
    </row>
    <row r="21" spans="1:16">
      <c r="A21" s="4" t="s">
        <v>315</v>
      </c>
      <c r="B21" s="10"/>
      <c r="C21" s="10"/>
      <c r="E21" s="85"/>
      <c r="F21" s="513">
        <v>221.34899999999999</v>
      </c>
      <c r="G21" s="6"/>
      <c r="H21" s="15">
        <v>73.783000000000001</v>
      </c>
      <c r="I21" s="6"/>
      <c r="J21" s="15">
        <v>73.783000000000001</v>
      </c>
      <c r="K21" s="6"/>
      <c r="L21" s="15">
        <v>73.783000000000001</v>
      </c>
      <c r="M21" s="13"/>
      <c r="N21" s="15">
        <v>221.34899999999999</v>
      </c>
      <c r="O21" s="13"/>
      <c r="P21" s="15">
        <v>242</v>
      </c>
    </row>
    <row r="22" spans="1:16">
      <c r="A22" s="80" t="s">
        <v>330</v>
      </c>
      <c r="B22" s="10"/>
      <c r="C22" s="10"/>
      <c r="E22" s="85"/>
      <c r="F22" s="514">
        <v>2700</v>
      </c>
      <c r="G22" s="6"/>
      <c r="H22" s="17">
        <v>2600</v>
      </c>
      <c r="I22" s="6"/>
      <c r="J22" s="17">
        <v>100</v>
      </c>
      <c r="K22" s="6"/>
      <c r="L22" s="17">
        <v>0</v>
      </c>
      <c r="M22" s="13"/>
      <c r="N22" s="17">
        <v>2700</v>
      </c>
      <c r="O22" s="13"/>
      <c r="P22" s="17">
        <v>12700</v>
      </c>
    </row>
    <row r="23" spans="1:16">
      <c r="A23" s="384" t="s">
        <v>123</v>
      </c>
      <c r="B23" s="384"/>
      <c r="C23" s="384"/>
      <c r="E23" s="11"/>
      <c r="F23" s="511">
        <v>263238</v>
      </c>
      <c r="G23" s="6"/>
      <c r="H23" s="6">
        <v>101483</v>
      </c>
      <c r="I23" s="6"/>
      <c r="J23" s="6">
        <v>79004</v>
      </c>
      <c r="K23" s="6"/>
      <c r="L23" s="6">
        <v>82751</v>
      </c>
      <c r="N23" s="6">
        <v>263238</v>
      </c>
      <c r="P23" s="6">
        <v>268211</v>
      </c>
    </row>
    <row r="24" spans="1:16">
      <c r="E24" s="360"/>
      <c r="F24" s="515"/>
      <c r="G24" s="6"/>
      <c r="H24" s="18"/>
      <c r="I24" s="6"/>
      <c r="J24" s="18"/>
      <c r="K24" s="6"/>
      <c r="L24" s="18"/>
      <c r="M24" s="18"/>
      <c r="N24" s="18"/>
      <c r="O24" s="18"/>
      <c r="P24" s="18"/>
    </row>
    <row r="25" spans="1:16">
      <c r="A25" s="384" t="s">
        <v>92</v>
      </c>
      <c r="B25" s="384"/>
      <c r="C25" s="384"/>
      <c r="E25" s="360"/>
      <c r="F25" s="515"/>
      <c r="G25" s="6"/>
      <c r="H25" s="18"/>
      <c r="I25" s="6"/>
      <c r="J25" s="18"/>
      <c r="K25" s="6"/>
      <c r="L25" s="18"/>
      <c r="M25" s="18"/>
      <c r="N25" s="18"/>
      <c r="O25" s="18"/>
      <c r="P25" s="18"/>
    </row>
    <row r="26" spans="1:16">
      <c r="A26" s="384"/>
      <c r="B26" s="384"/>
      <c r="C26" s="384"/>
      <c r="E26" s="360"/>
      <c r="F26" s="515"/>
      <c r="G26" s="6"/>
      <c r="H26" s="18"/>
      <c r="I26" s="6"/>
      <c r="J26" s="18"/>
      <c r="K26" s="6"/>
      <c r="L26" s="18"/>
      <c r="M26" s="18"/>
      <c r="N26" s="18"/>
      <c r="O26" s="18"/>
      <c r="P26" s="18"/>
    </row>
    <row r="27" spans="1:16" ht="2.25" customHeight="1">
      <c r="B27" s="10"/>
      <c r="C27" s="10"/>
      <c r="E27" s="85"/>
      <c r="F27" s="512">
        <v>0</v>
      </c>
      <c r="G27" s="13"/>
      <c r="H27" s="12"/>
      <c r="I27" s="13"/>
      <c r="J27" s="12"/>
      <c r="K27" s="13"/>
      <c r="L27" s="12"/>
      <c r="M27" s="13"/>
      <c r="N27" s="12"/>
      <c r="O27" s="13"/>
      <c r="P27" s="12"/>
    </row>
    <row r="28" spans="1:16" ht="12" customHeight="1">
      <c r="A28" s="4" t="s">
        <v>362</v>
      </c>
      <c r="B28" s="10"/>
      <c r="C28" s="10"/>
      <c r="D28" s="360">
        <v>5</v>
      </c>
      <c r="E28" s="85"/>
      <c r="F28" s="513">
        <v>3384.0349999999999</v>
      </c>
      <c r="G28" s="13"/>
      <c r="H28" s="15">
        <v>2848.8629999999998</v>
      </c>
      <c r="I28" s="13"/>
      <c r="J28" s="15">
        <v>317.44100000000003</v>
      </c>
      <c r="K28" s="13"/>
      <c r="L28" s="15">
        <v>217.73099999999999</v>
      </c>
      <c r="M28" s="13"/>
      <c r="N28" s="15">
        <v>3384.0349999999999</v>
      </c>
      <c r="O28" s="13"/>
      <c r="P28" s="15">
        <v>3178</v>
      </c>
    </row>
    <row r="29" spans="1:16" ht="12" customHeight="1">
      <c r="A29" s="4" t="s">
        <v>235</v>
      </c>
      <c r="B29" s="10"/>
      <c r="C29" s="10"/>
      <c r="E29" s="85"/>
      <c r="F29" s="513">
        <v>36.436</v>
      </c>
      <c r="G29" s="13"/>
      <c r="H29" s="15">
        <v>14.026999999999999</v>
      </c>
      <c r="I29" s="13"/>
      <c r="J29" s="15">
        <v>10.945</v>
      </c>
      <c r="K29" s="13"/>
      <c r="L29" s="15">
        <v>11.464</v>
      </c>
      <c r="M29" s="13"/>
      <c r="N29" s="15">
        <v>36.436</v>
      </c>
      <c r="O29" s="13"/>
      <c r="P29" s="15">
        <v>16</v>
      </c>
    </row>
    <row r="30" spans="1:16">
      <c r="A30" s="4" t="s">
        <v>331</v>
      </c>
      <c r="B30" s="10"/>
      <c r="C30" s="10"/>
      <c r="E30" s="85"/>
      <c r="F30" s="513">
        <v>21.552</v>
      </c>
      <c r="G30" s="13"/>
      <c r="H30" s="15">
        <v>8.4480000000000004</v>
      </c>
      <c r="I30" s="13"/>
      <c r="J30" s="15">
        <v>6.407</v>
      </c>
      <c r="K30" s="13"/>
      <c r="L30" s="15">
        <v>6.6970000000000001</v>
      </c>
      <c r="M30" s="13"/>
      <c r="N30" s="15">
        <v>21.552</v>
      </c>
      <c r="O30" s="13"/>
      <c r="P30" s="15">
        <v>3</v>
      </c>
    </row>
    <row r="31" spans="1:16">
      <c r="A31" s="4" t="s">
        <v>286</v>
      </c>
      <c r="B31" s="10"/>
      <c r="C31" s="10"/>
      <c r="E31" s="85"/>
      <c r="F31" s="513">
        <v>0</v>
      </c>
      <c r="G31" s="13"/>
      <c r="H31" s="15">
        <v>0</v>
      </c>
      <c r="I31" s="13"/>
      <c r="J31" s="15">
        <v>0</v>
      </c>
      <c r="K31" s="13"/>
      <c r="L31" s="15">
        <v>0</v>
      </c>
      <c r="M31" s="13"/>
      <c r="N31" s="15">
        <v>0</v>
      </c>
      <c r="O31" s="13"/>
      <c r="P31" s="15">
        <v>9563</v>
      </c>
    </row>
    <row r="32" spans="1:16">
      <c r="A32" s="4" t="s">
        <v>332</v>
      </c>
      <c r="B32" s="10"/>
      <c r="C32" s="10"/>
      <c r="E32" s="85"/>
      <c r="F32" s="513">
        <v>631.38699999999994</v>
      </c>
      <c r="G32" s="13"/>
      <c r="H32" s="17">
        <v>360.23700000000002</v>
      </c>
      <c r="I32" s="13"/>
      <c r="J32" s="17">
        <v>134.494</v>
      </c>
      <c r="K32" s="13"/>
      <c r="L32" s="17">
        <v>136.65600000000001</v>
      </c>
      <c r="M32" s="13"/>
      <c r="N32" s="17">
        <v>631.38699999999994</v>
      </c>
      <c r="O32" s="13"/>
      <c r="P32" s="17">
        <v>127</v>
      </c>
    </row>
    <row r="33" spans="1:16">
      <c r="A33" s="20" t="s">
        <v>124</v>
      </c>
      <c r="B33" s="384"/>
      <c r="C33" s="384"/>
      <c r="E33" s="360"/>
      <c r="F33" s="511">
        <v>4073</v>
      </c>
      <c r="G33" s="6"/>
      <c r="H33" s="6">
        <v>3232</v>
      </c>
      <c r="I33" s="6"/>
      <c r="J33" s="6">
        <v>469</v>
      </c>
      <c r="K33" s="6"/>
      <c r="L33" s="6">
        <v>373</v>
      </c>
      <c r="N33" s="6">
        <v>4073</v>
      </c>
      <c r="P33" s="6">
        <v>12887</v>
      </c>
    </row>
    <row r="34" spans="1:16">
      <c r="A34" s="20"/>
      <c r="B34" s="384"/>
      <c r="C34" s="384"/>
      <c r="E34" s="360"/>
      <c r="G34" s="6"/>
      <c r="I34" s="6"/>
      <c r="K34" s="6"/>
    </row>
    <row r="35" spans="1:16" ht="12.75" thickBot="1">
      <c r="A35" s="20" t="s">
        <v>93</v>
      </c>
      <c r="B35" s="384"/>
      <c r="C35" s="384"/>
      <c r="D35" s="14"/>
      <c r="E35" s="360"/>
      <c r="F35" s="516">
        <v>259165</v>
      </c>
      <c r="G35" s="6"/>
      <c r="H35" s="174">
        <v>98251</v>
      </c>
      <c r="I35" s="18"/>
      <c r="J35" s="174">
        <v>78535</v>
      </c>
      <c r="K35" s="18"/>
      <c r="L35" s="174">
        <v>82378</v>
      </c>
      <c r="M35" s="42"/>
      <c r="N35" s="174">
        <v>259165</v>
      </c>
      <c r="O35" s="13"/>
      <c r="P35" s="21">
        <v>255324</v>
      </c>
    </row>
    <row r="36" spans="1:16" ht="12.75" thickTop="1">
      <c r="A36" s="19"/>
      <c r="E36" s="360"/>
      <c r="F36" s="517"/>
      <c r="G36" s="6"/>
      <c r="H36" s="22"/>
      <c r="I36" s="6"/>
      <c r="J36" s="22"/>
      <c r="K36" s="6"/>
      <c r="L36" s="22"/>
      <c r="M36" s="22"/>
      <c r="N36" s="22"/>
      <c r="O36" s="22"/>
      <c r="P36" s="22"/>
    </row>
    <row r="37" spans="1:16" ht="12.75" thickBot="1">
      <c r="A37" s="20" t="s">
        <v>333</v>
      </c>
      <c r="B37" s="384"/>
      <c r="C37" s="384"/>
      <c r="E37" s="360"/>
      <c r="F37" s="518">
        <v>259164.992</v>
      </c>
      <c r="G37" s="6"/>
      <c r="H37" s="548">
        <v>98251.252000000008</v>
      </c>
      <c r="I37" s="18"/>
      <c r="J37" s="548">
        <v>78535.005000000005</v>
      </c>
      <c r="K37" s="18"/>
      <c r="L37" s="548">
        <v>82378.735000000001</v>
      </c>
      <c r="M37" s="13"/>
      <c r="N37" s="548">
        <v>259164.992</v>
      </c>
      <c r="O37" s="13"/>
      <c r="P37" s="103">
        <v>255324</v>
      </c>
    </row>
    <row r="38" spans="1:16" ht="12.75" thickTop="1">
      <c r="A38" s="20"/>
      <c r="B38" s="384"/>
      <c r="C38" s="42"/>
      <c r="E38" s="360"/>
      <c r="F38" s="519"/>
      <c r="G38" s="18"/>
      <c r="H38" s="42"/>
      <c r="I38" s="18"/>
      <c r="J38" s="42"/>
      <c r="K38" s="18"/>
      <c r="L38" s="42"/>
      <c r="M38" s="42"/>
      <c r="N38" s="42"/>
      <c r="O38" s="42"/>
      <c r="P38" s="42"/>
    </row>
    <row r="39" spans="1:16">
      <c r="A39" s="23"/>
      <c r="B39" s="10"/>
      <c r="C39" s="10"/>
      <c r="E39" s="76"/>
      <c r="F39" s="520"/>
      <c r="G39" s="101"/>
      <c r="H39" s="101"/>
      <c r="I39" s="101"/>
      <c r="J39" s="101"/>
      <c r="K39" s="101"/>
      <c r="L39" s="101"/>
      <c r="M39" s="101"/>
      <c r="N39" s="101"/>
      <c r="O39" s="101"/>
      <c r="P39" s="101"/>
    </row>
    <row r="40" spans="1:16">
      <c r="A40" s="23"/>
      <c r="B40" s="10"/>
      <c r="C40" s="10"/>
      <c r="E40" s="360"/>
      <c r="F40" s="700" t="s">
        <v>314</v>
      </c>
      <c r="G40" s="701"/>
      <c r="H40" s="701"/>
      <c r="I40" s="701"/>
      <c r="J40" s="701"/>
      <c r="K40" s="701"/>
      <c r="L40" s="701"/>
      <c r="M40" s="701"/>
      <c r="N40" s="701"/>
      <c r="O40" s="701"/>
      <c r="P40" s="701"/>
    </row>
    <row r="41" spans="1:16">
      <c r="A41" s="23"/>
      <c r="B41" s="10"/>
      <c r="C41" s="10"/>
      <c r="E41" s="360"/>
      <c r="F41" s="521"/>
      <c r="G41" s="73"/>
      <c r="H41" s="83"/>
      <c r="I41" s="73"/>
      <c r="J41" s="83"/>
      <c r="K41" s="73"/>
      <c r="L41" s="83"/>
      <c r="M41" s="83"/>
      <c r="N41" s="83"/>
      <c r="O41" s="83"/>
      <c r="P41" s="83"/>
    </row>
    <row r="42" spans="1:16" ht="12.75" thickBot="1">
      <c r="A42" s="20" t="s">
        <v>125</v>
      </c>
      <c r="B42" s="10"/>
      <c r="C42" s="10"/>
      <c r="E42" s="85"/>
      <c r="F42" s="518"/>
      <c r="H42" s="103">
        <v>10480437.828400001</v>
      </c>
      <c r="J42" s="103">
        <v>7793363.9234999996</v>
      </c>
      <c r="L42" s="103">
        <v>8180221.7467</v>
      </c>
      <c r="M42" s="13"/>
      <c r="N42" s="103">
        <v>26454023.498600002</v>
      </c>
      <c r="O42" s="13"/>
      <c r="P42" s="103">
        <v>25511955</v>
      </c>
    </row>
    <row r="43" spans="1:16" ht="12.75" thickTop="1">
      <c r="A43" s="20"/>
      <c r="B43" s="10"/>
      <c r="C43" s="10"/>
      <c r="E43" s="360"/>
    </row>
    <row r="44" spans="1:16">
      <c r="A44" s="55"/>
      <c r="E44" s="623"/>
      <c r="F44" s="623"/>
      <c r="G44" s="623"/>
      <c r="H44" s="702" t="s">
        <v>287</v>
      </c>
      <c r="I44" s="703"/>
      <c r="J44" s="703"/>
      <c r="K44" s="703"/>
      <c r="L44" s="703"/>
      <c r="O44" s="609"/>
      <c r="P44" s="609"/>
    </row>
    <row r="45" spans="1:16">
      <c r="A45" s="55"/>
      <c r="F45" s="522"/>
      <c r="G45" s="493"/>
      <c r="H45" s="493"/>
      <c r="I45" s="493"/>
      <c r="J45" s="493"/>
      <c r="K45" s="493"/>
      <c r="L45" s="493"/>
      <c r="M45" s="493"/>
      <c r="N45" s="493"/>
      <c r="O45" s="493"/>
      <c r="P45" s="493"/>
    </row>
    <row r="46" spans="1:16" ht="12.75" thickBot="1">
      <c r="A46" s="384" t="s">
        <v>67</v>
      </c>
      <c r="B46" s="384"/>
      <c r="C46" s="384"/>
      <c r="E46" s="360"/>
      <c r="F46" s="523"/>
      <c r="H46" s="498">
        <v>9.3747037679817531</v>
      </c>
      <c r="J46" s="498">
        <v>10.077163182792821</v>
      </c>
      <c r="L46" s="498">
        <v>10.070387154630897</v>
      </c>
      <c r="M46" s="506"/>
      <c r="N46" s="506"/>
      <c r="O46" s="506"/>
      <c r="P46" s="506"/>
    </row>
    <row r="47" spans="1:16" ht="12.75" thickTop="1">
      <c r="E47" s="360"/>
      <c r="F47" s="524"/>
      <c r="H47" s="24"/>
      <c r="J47" s="24"/>
      <c r="L47" s="24"/>
      <c r="M47" s="24"/>
      <c r="N47" s="24"/>
      <c r="O47" s="24"/>
      <c r="P47" s="24"/>
    </row>
    <row r="48" spans="1:16">
      <c r="A48" s="140" t="s">
        <v>480</v>
      </c>
      <c r="F48" s="525"/>
      <c r="H48" s="13"/>
      <c r="J48" s="13"/>
      <c r="L48" s="13"/>
      <c r="M48" s="13"/>
      <c r="N48" s="13"/>
      <c r="O48" s="13"/>
      <c r="P48" s="13"/>
    </row>
    <row r="49" spans="1:16">
      <c r="F49" s="525"/>
      <c r="H49" s="13"/>
      <c r="J49" s="13"/>
      <c r="L49" s="13"/>
      <c r="M49" s="13"/>
      <c r="N49" s="13"/>
      <c r="O49" s="13"/>
      <c r="P49" s="13"/>
    </row>
    <row r="50" spans="1:16">
      <c r="A50" s="66"/>
      <c r="C50" s="3"/>
      <c r="D50" s="3"/>
      <c r="E50" s="3"/>
      <c r="F50" s="3"/>
      <c r="G50" s="3"/>
      <c r="H50" s="432"/>
      <c r="I50" s="500"/>
      <c r="J50" s="500"/>
      <c r="K50" s="432"/>
      <c r="L50" s="500"/>
      <c r="M50" s="500"/>
      <c r="N50" s="500"/>
      <c r="O50" s="500"/>
      <c r="P50" s="500"/>
    </row>
    <row r="51" spans="1:16">
      <c r="A51" s="66"/>
      <c r="B51" s="66" t="s">
        <v>335</v>
      </c>
      <c r="C51" s="3"/>
      <c r="D51" s="3"/>
      <c r="E51" s="3"/>
      <c r="F51" s="3"/>
      <c r="G51" s="3"/>
      <c r="H51" s="432"/>
      <c r="I51" s="3"/>
      <c r="J51" s="3"/>
      <c r="K51" s="432"/>
      <c r="L51" s="3"/>
      <c r="M51" s="3"/>
      <c r="N51" s="3"/>
      <c r="O51" s="3"/>
      <c r="P51" s="3"/>
    </row>
    <row r="52" spans="1:16">
      <c r="A52" s="26"/>
      <c r="B52" s="66" t="s">
        <v>400</v>
      </c>
      <c r="C52" s="26"/>
      <c r="D52" s="3"/>
      <c r="E52" s="3"/>
      <c r="F52" s="526"/>
      <c r="G52" s="3"/>
      <c r="H52" s="3"/>
      <c r="I52" s="3"/>
      <c r="J52" s="3"/>
      <c r="K52" s="3"/>
      <c r="L52" s="3"/>
      <c r="M52" s="3"/>
      <c r="N52" s="3"/>
      <c r="O52" s="3"/>
      <c r="P52" s="3"/>
    </row>
    <row r="53" spans="1:16">
      <c r="D53" s="432"/>
      <c r="E53" s="432"/>
      <c r="F53" s="527"/>
      <c r="G53" s="432"/>
      <c r="H53" s="432"/>
      <c r="I53" s="432"/>
      <c r="J53" s="432"/>
      <c r="K53" s="432"/>
      <c r="L53" s="432"/>
      <c r="M53" s="432"/>
      <c r="N53" s="432"/>
      <c r="O53" s="432"/>
      <c r="P53" s="432"/>
    </row>
    <row r="54" spans="1:16">
      <c r="D54" s="432"/>
      <c r="E54" s="432"/>
      <c r="F54" s="527"/>
      <c r="G54" s="432"/>
      <c r="H54" s="432"/>
      <c r="I54" s="432"/>
      <c r="J54" s="432"/>
      <c r="K54" s="432"/>
      <c r="L54" s="432"/>
      <c r="M54" s="432"/>
      <c r="N54" s="432"/>
      <c r="O54" s="432"/>
      <c r="P54" s="432"/>
    </row>
    <row r="55" spans="1:16">
      <c r="D55" s="432"/>
      <c r="E55" s="432"/>
      <c r="F55" s="527"/>
      <c r="G55" s="432"/>
      <c r="H55" s="432"/>
      <c r="I55" s="432"/>
      <c r="J55" s="432"/>
      <c r="K55" s="432"/>
      <c r="L55" s="432"/>
      <c r="M55" s="432"/>
      <c r="N55" s="432"/>
      <c r="O55" s="432"/>
      <c r="P55" s="432"/>
    </row>
    <row r="56" spans="1:16">
      <c r="A56" s="66" t="s">
        <v>482</v>
      </c>
      <c r="E56" s="4"/>
      <c r="F56" s="528"/>
      <c r="H56" s="4"/>
      <c r="J56" s="4"/>
      <c r="L56" s="4"/>
      <c r="M56" s="4"/>
      <c r="N56" s="4"/>
      <c r="O56" s="4"/>
      <c r="P56" s="4"/>
    </row>
    <row r="57" spans="1:16" s="29" customFormat="1">
      <c r="A57" s="66" t="s">
        <v>336</v>
      </c>
      <c r="B57" s="27"/>
      <c r="C57" s="27"/>
      <c r="D57" s="27"/>
      <c r="E57" s="28"/>
      <c r="F57" s="529"/>
      <c r="G57" s="27"/>
      <c r="H57" s="27"/>
      <c r="I57" s="27"/>
      <c r="J57" s="27"/>
      <c r="K57" s="27"/>
      <c r="L57" s="27"/>
      <c r="M57" s="27"/>
      <c r="N57" s="27"/>
      <c r="O57" s="27"/>
      <c r="P57" s="27"/>
    </row>
  </sheetData>
  <customSheetViews>
    <customSheetView guid="{84FBBE83-FF6F-4C76-A58E-D04643F715A5}" showPageBreaks="1" printArea="1" hiddenRows="1" view="pageBreakPreview" topLeftCell="A16">
      <selection activeCell="K26" sqref="K26"/>
      <pageMargins left="0.75" right="0.5" top="0.5" bottom="0.25" header="0" footer="0"/>
      <printOptions horizontalCentered="1"/>
      <pageSetup paperSize="9" orientation="portrait" r:id="rId1"/>
      <headerFooter alignWithMargins="0">
        <oddFooter>&amp;C1 of 11</oddFooter>
      </headerFooter>
    </customSheetView>
  </customSheetViews>
  <mergeCells count="4">
    <mergeCell ref="H4:N5"/>
    <mergeCell ref="H8:P8"/>
    <mergeCell ref="F40:P40"/>
    <mergeCell ref="H44:L44"/>
  </mergeCells>
  <phoneticPr fontId="7" type="noConversion"/>
  <printOptions horizontalCentered="1"/>
  <pageMargins left="0.75" right="0.5" top="0.5" bottom="0.25" header="0" footer="0"/>
  <pageSetup paperSize="9" scale="73" fitToWidth="12" fitToHeight="12" orientation="portrait" r:id="rId2"/>
  <headerFooter alignWithMargins="0">
    <oddFooter>&amp;C1 of 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1"/>
  </sheetPr>
  <dimension ref="A1:GL58"/>
  <sheetViews>
    <sheetView tabSelected="1" view="pageBreakPreview" zoomScaleSheetLayoutView="100" workbookViewId="0">
      <selection activeCell="A27" sqref="A27"/>
    </sheetView>
  </sheetViews>
  <sheetFormatPr defaultRowHeight="12"/>
  <cols>
    <col min="1" max="1" width="5.125" style="25" customWidth="1"/>
    <col min="2" max="2" width="6.5" style="25" customWidth="1"/>
    <col min="3" max="3" width="37.75" style="25" customWidth="1"/>
    <col min="4" max="4" width="3.125" style="35" customWidth="1"/>
    <col min="5" max="5" width="9.375" style="511" hidden="1" customWidth="1"/>
    <col min="6" max="6" width="0.875" style="25" customWidth="1"/>
    <col min="7" max="7" width="8.875" style="38" customWidth="1"/>
    <col min="8" max="8" width="1" style="38" customWidth="1"/>
    <col min="9" max="9" width="9" style="25"/>
    <col min="10" max="10" width="0.75" style="25" customWidth="1"/>
    <col min="11" max="11" width="9" style="25"/>
    <col min="12" max="12" width="0.875" style="25" customWidth="1"/>
    <col min="13" max="13" width="9" style="25"/>
    <col min="14" max="14" width="0.625" style="25" customWidth="1"/>
    <col min="15" max="16384" width="9" style="25"/>
  </cols>
  <sheetData>
    <row r="1" spans="1:13">
      <c r="A1" s="2" t="s">
        <v>267</v>
      </c>
      <c r="B1" s="2"/>
      <c r="C1" s="2"/>
      <c r="D1" s="2"/>
      <c r="E1" s="508"/>
      <c r="F1" s="2"/>
      <c r="G1" s="2"/>
      <c r="H1" s="2"/>
    </row>
    <row r="2" spans="1:13">
      <c r="A2" s="460" t="s">
        <v>251</v>
      </c>
      <c r="B2" s="46"/>
      <c r="C2" s="46"/>
      <c r="D2" s="54"/>
      <c r="E2" s="530"/>
      <c r="F2" s="34"/>
      <c r="G2" s="36"/>
      <c r="H2" s="36"/>
    </row>
    <row r="3" spans="1:13">
      <c r="A3" s="46" t="s">
        <v>318</v>
      </c>
      <c r="B3" s="46"/>
      <c r="C3" s="46"/>
      <c r="D3" s="54"/>
      <c r="E3" s="531"/>
      <c r="F3" s="34"/>
      <c r="G3" s="36"/>
      <c r="H3" s="36"/>
    </row>
    <row r="4" spans="1:13" ht="48">
      <c r="A4" s="46"/>
      <c r="B4" s="46"/>
      <c r="C4" s="46"/>
      <c r="D4" s="54"/>
      <c r="E4" s="509" t="s">
        <v>267</v>
      </c>
      <c r="F4" s="4"/>
      <c r="G4" s="494" t="s">
        <v>323</v>
      </c>
      <c r="H4" s="4"/>
      <c r="I4" s="494" t="s">
        <v>324</v>
      </c>
      <c r="J4" s="4"/>
      <c r="K4" s="507" t="s">
        <v>325</v>
      </c>
      <c r="L4" s="538"/>
      <c r="M4" s="507" t="s">
        <v>215</v>
      </c>
    </row>
    <row r="5" spans="1:13" hidden="1">
      <c r="A5" s="46"/>
      <c r="B5" s="46"/>
      <c r="C5" s="46"/>
      <c r="D5" s="54"/>
      <c r="E5" s="510" t="s">
        <v>141</v>
      </c>
      <c r="F5" s="432"/>
      <c r="G5" s="499" t="s">
        <v>141</v>
      </c>
      <c r="H5" s="432"/>
      <c r="I5" s="499" t="s">
        <v>141</v>
      </c>
      <c r="J5" s="432"/>
      <c r="K5" s="499" t="s">
        <v>141</v>
      </c>
      <c r="L5" s="505"/>
      <c r="M5" s="505"/>
    </row>
    <row r="6" spans="1:13" s="247" customFormat="1" ht="12" customHeight="1">
      <c r="D6" s="249"/>
      <c r="E6" s="698" t="s">
        <v>334</v>
      </c>
      <c r="F6" s="699"/>
      <c r="G6" s="699"/>
      <c r="H6" s="699"/>
      <c r="I6" s="699"/>
      <c r="J6" s="699"/>
      <c r="K6" s="699"/>
      <c r="L6" s="699"/>
      <c r="M6" s="699"/>
    </row>
    <row r="7" spans="1:13" s="247" customFormat="1" ht="11.1" customHeight="1">
      <c r="E7" s="532"/>
      <c r="F7" s="496"/>
      <c r="G7" s="496"/>
      <c r="H7" s="404"/>
    </row>
    <row r="8" spans="1:13" s="247" customFormat="1" ht="5.25" customHeight="1">
      <c r="E8" s="533"/>
      <c r="F8" s="280"/>
      <c r="G8" s="280"/>
      <c r="H8" s="280"/>
    </row>
    <row r="9" spans="1:13" s="247" customFormat="1" ht="12.75" customHeight="1">
      <c r="A9" s="187" t="s">
        <v>94</v>
      </c>
      <c r="B9" s="187"/>
      <c r="C9" s="187"/>
      <c r="D9" s="35"/>
      <c r="E9" s="511"/>
      <c r="F9" s="4"/>
      <c r="G9" s="6"/>
      <c r="H9" s="38"/>
      <c r="I9" s="25"/>
      <c r="J9" s="25"/>
      <c r="K9" s="25"/>
      <c r="L9" s="25"/>
      <c r="M9" s="25"/>
    </row>
    <row r="10" spans="1:13" s="247" customFormat="1" ht="14.25" customHeight="1">
      <c r="A10" s="4" t="s">
        <v>61</v>
      </c>
      <c r="B10" s="55"/>
      <c r="C10" s="55"/>
      <c r="D10" s="183"/>
      <c r="E10" s="511">
        <v>1149.769</v>
      </c>
      <c r="F10" s="4"/>
      <c r="G10" s="6">
        <v>1149.769</v>
      </c>
      <c r="H10" s="10">
        <v>0</v>
      </c>
      <c r="I10" s="6">
        <v>0</v>
      </c>
      <c r="J10" s="25">
        <v>0</v>
      </c>
      <c r="K10" s="6">
        <v>0</v>
      </c>
      <c r="L10" s="6"/>
      <c r="M10" s="6">
        <v>1149.769</v>
      </c>
    </row>
    <row r="11" spans="1:13" s="247" customFormat="1" ht="9.9499999999999993" hidden="1" customHeight="1">
      <c r="A11" s="4" t="s">
        <v>155</v>
      </c>
      <c r="B11" s="55"/>
      <c r="C11" s="55"/>
      <c r="D11" s="183"/>
      <c r="E11" s="511">
        <v>0</v>
      </c>
      <c r="F11" s="6"/>
      <c r="G11" s="6">
        <v>0</v>
      </c>
      <c r="H11" s="10">
        <v>0</v>
      </c>
      <c r="I11" s="6">
        <v>0</v>
      </c>
      <c r="J11" s="25">
        <v>0</v>
      </c>
      <c r="K11" s="6">
        <v>0</v>
      </c>
      <c r="L11" s="6"/>
      <c r="M11" s="6"/>
    </row>
    <row r="12" spans="1:13" s="247" customFormat="1" ht="12" hidden="1" customHeight="1">
      <c r="A12" s="4" t="s">
        <v>21</v>
      </c>
      <c r="B12" s="184"/>
      <c r="C12" s="184"/>
      <c r="D12" s="183"/>
      <c r="E12" s="511">
        <v>0</v>
      </c>
      <c r="F12" s="4"/>
      <c r="G12" s="6">
        <v>0</v>
      </c>
      <c r="H12" s="10">
        <v>0</v>
      </c>
      <c r="I12" s="6">
        <v>0</v>
      </c>
      <c r="J12" s="25">
        <v>0</v>
      </c>
      <c r="K12" s="6">
        <v>0</v>
      </c>
      <c r="L12" s="6"/>
      <c r="M12" s="6"/>
    </row>
    <row r="13" spans="1:13" s="247" customFormat="1" ht="15" customHeight="1">
      <c r="A13" s="4" t="s">
        <v>135</v>
      </c>
      <c r="B13" s="184"/>
      <c r="C13" s="184"/>
      <c r="D13" s="183"/>
      <c r="E13" s="511">
        <v>2191.0070000000001</v>
      </c>
      <c r="F13" s="4"/>
      <c r="G13" s="6">
        <v>230.137</v>
      </c>
      <c r="H13" s="10">
        <v>0</v>
      </c>
      <c r="I13" s="6">
        <v>989.93600000000004</v>
      </c>
      <c r="J13" s="25">
        <v>0</v>
      </c>
      <c r="K13" s="6">
        <v>970.93399999999997</v>
      </c>
      <c r="L13" s="6"/>
      <c r="M13" s="6">
        <v>2191.0070000000001</v>
      </c>
    </row>
    <row r="14" spans="1:13" s="247" customFormat="1" ht="9.9499999999999993" hidden="1" customHeight="1">
      <c r="A14" s="4" t="s">
        <v>284</v>
      </c>
      <c r="B14" s="55"/>
      <c r="C14" s="55"/>
      <c r="D14" s="35"/>
      <c r="E14" s="511">
        <v>0</v>
      </c>
      <c r="F14" s="13"/>
      <c r="G14" s="6">
        <v>0</v>
      </c>
      <c r="H14" s="549"/>
      <c r="I14" s="6">
        <v>0</v>
      </c>
      <c r="J14" s="25"/>
      <c r="K14" s="6">
        <v>0</v>
      </c>
      <c r="L14" s="6"/>
      <c r="M14" s="6"/>
    </row>
    <row r="15" spans="1:13" s="247" customFormat="1" ht="9.9499999999999993" hidden="1" customHeight="1">
      <c r="A15" s="4" t="s">
        <v>285</v>
      </c>
      <c r="B15" s="55"/>
      <c r="C15" s="55"/>
      <c r="D15" s="35"/>
      <c r="E15" s="511">
        <v>0</v>
      </c>
      <c r="F15" s="13"/>
      <c r="G15" s="6">
        <v>0</v>
      </c>
      <c r="H15" s="549"/>
      <c r="I15" s="6">
        <v>0</v>
      </c>
      <c r="J15" s="25"/>
      <c r="K15" s="6">
        <v>0</v>
      </c>
      <c r="L15" s="6"/>
      <c r="M15" s="6"/>
    </row>
    <row r="16" spans="1:13" s="247" customFormat="1" ht="2.25" customHeight="1">
      <c r="A16" s="4"/>
      <c r="B16" s="55"/>
      <c r="C16" s="55"/>
      <c r="D16" s="35"/>
      <c r="E16" s="511">
        <v>0</v>
      </c>
      <c r="F16" s="13"/>
      <c r="G16" s="6">
        <v>0</v>
      </c>
      <c r="H16" s="549"/>
      <c r="I16" s="6">
        <v>0</v>
      </c>
      <c r="J16" s="25"/>
      <c r="K16" s="6">
        <v>0</v>
      </c>
      <c r="L16" s="6"/>
      <c r="M16" s="6"/>
    </row>
    <row r="17" spans="1:13" s="247" customFormat="1" ht="12" customHeight="1">
      <c r="A17" s="55"/>
      <c r="B17" s="55"/>
      <c r="C17" s="55"/>
      <c r="D17" s="360"/>
      <c r="E17" s="550">
        <v>3340.7759999999998</v>
      </c>
      <c r="F17" s="6"/>
      <c r="G17" s="97">
        <v>1379.9059999999999</v>
      </c>
      <c r="H17" s="186"/>
      <c r="I17" s="97">
        <v>989.93600000000004</v>
      </c>
      <c r="J17" s="551" t="e">
        <v>#REF!</v>
      </c>
      <c r="K17" s="97">
        <v>970.93399999999997</v>
      </c>
      <c r="L17" s="13"/>
      <c r="M17" s="97">
        <v>3340.7759999999998</v>
      </c>
    </row>
    <row r="18" spans="1:13" s="247" customFormat="1" ht="9.9499999999999993" hidden="1" customHeight="1">
      <c r="A18" s="340" t="s">
        <v>191</v>
      </c>
      <c r="B18" s="55"/>
      <c r="C18" s="55"/>
      <c r="D18" s="360"/>
      <c r="E18" s="525"/>
      <c r="F18" s="6"/>
      <c r="G18" s="13"/>
      <c r="H18" s="186"/>
      <c r="I18" s="13"/>
      <c r="J18" s="25"/>
      <c r="K18" s="13"/>
      <c r="L18" s="13"/>
      <c r="M18" s="13"/>
    </row>
    <row r="19" spans="1:13" s="247" customFormat="1" ht="9.9499999999999993" hidden="1" customHeight="1">
      <c r="A19" s="233" t="s">
        <v>3</v>
      </c>
      <c r="B19" s="55"/>
      <c r="C19" s="55"/>
      <c r="D19" s="35"/>
      <c r="E19" s="511"/>
      <c r="F19" s="13"/>
      <c r="G19" s="6"/>
      <c r="H19" s="549"/>
      <c r="I19" s="6"/>
      <c r="J19" s="25"/>
      <c r="K19" s="6"/>
      <c r="L19" s="6"/>
      <c r="M19" s="6"/>
    </row>
    <row r="20" spans="1:13" s="247" customFormat="1" ht="9.9499999999999993" hidden="1" customHeight="1">
      <c r="A20" s="185" t="s">
        <v>2</v>
      </c>
      <c r="B20" s="55"/>
      <c r="C20" s="55"/>
      <c r="D20" s="183"/>
      <c r="E20" s="511">
        <v>0</v>
      </c>
      <c r="F20" s="13"/>
      <c r="G20" s="13">
        <v>0</v>
      </c>
      <c r="H20" s="549"/>
      <c r="I20" s="6">
        <v>0</v>
      </c>
      <c r="J20" s="25"/>
      <c r="K20" s="6">
        <v>0</v>
      </c>
      <c r="L20" s="6"/>
      <c r="M20" s="6"/>
    </row>
    <row r="21" spans="1:13" s="247" customFormat="1" ht="9.9499999999999993" hidden="1" customHeight="1">
      <c r="A21" s="96"/>
      <c r="B21" s="186"/>
      <c r="C21" s="186"/>
      <c r="D21" s="360"/>
      <c r="E21" s="550">
        <v>3340.7759999999998</v>
      </c>
      <c r="F21" s="6"/>
      <c r="G21" s="97">
        <v>1379.9059999999999</v>
      </c>
      <c r="H21" s="340"/>
      <c r="I21" s="97">
        <v>989.93600000000004</v>
      </c>
      <c r="J21" s="25"/>
      <c r="K21" s="97">
        <v>970.93399999999997</v>
      </c>
      <c r="L21" s="13"/>
      <c r="M21" s="97">
        <v>3340.7759999999998</v>
      </c>
    </row>
    <row r="22" spans="1:13" s="247" customFormat="1" ht="13.5" customHeight="1">
      <c r="A22" s="187" t="s">
        <v>82</v>
      </c>
      <c r="B22" s="187"/>
      <c r="C22" s="187"/>
      <c r="D22" s="183"/>
      <c r="E22" s="511"/>
      <c r="F22" s="6"/>
      <c r="G22" s="6"/>
      <c r="H22" s="186"/>
      <c r="I22" s="6"/>
      <c r="J22" s="25"/>
      <c r="K22" s="6"/>
      <c r="L22" s="6"/>
      <c r="M22" s="6"/>
    </row>
    <row r="23" spans="1:13" s="247" customFormat="1" ht="4.5" customHeight="1">
      <c r="A23" s="55"/>
      <c r="B23" s="187"/>
      <c r="C23" s="187"/>
      <c r="D23" s="183"/>
      <c r="E23" s="512">
        <v>0</v>
      </c>
      <c r="F23" s="6"/>
      <c r="G23" s="12">
        <v>0</v>
      </c>
      <c r="H23" s="552"/>
      <c r="I23" s="12">
        <v>0</v>
      </c>
      <c r="J23" s="25"/>
      <c r="K23" s="12">
        <v>0</v>
      </c>
      <c r="L23" s="13"/>
      <c r="M23" s="12"/>
    </row>
    <row r="24" spans="1:13" s="247" customFormat="1">
      <c r="A24" s="55" t="s">
        <v>489</v>
      </c>
      <c r="B24" s="55"/>
      <c r="C24" s="55"/>
      <c r="D24" s="188"/>
      <c r="E24" s="513">
        <v>981.37200000000007</v>
      </c>
      <c r="F24" s="13"/>
      <c r="G24" s="15">
        <v>385.68799999999999</v>
      </c>
      <c r="H24" s="552">
        <v>0</v>
      </c>
      <c r="I24" s="15">
        <v>292.09500000000003</v>
      </c>
      <c r="J24" s="25">
        <v>0</v>
      </c>
      <c r="K24" s="15">
        <v>303.589</v>
      </c>
      <c r="L24" s="13"/>
      <c r="M24" s="15">
        <v>981.37200000000007</v>
      </c>
    </row>
    <row r="25" spans="1:13" s="247" customFormat="1">
      <c r="A25" s="55" t="s">
        <v>490</v>
      </c>
      <c r="B25" s="55"/>
      <c r="C25" s="55"/>
      <c r="D25" s="553"/>
      <c r="E25" s="513">
        <v>159.38499999999999</v>
      </c>
      <c r="F25" s="13"/>
      <c r="G25" s="15">
        <v>62.646999999999998</v>
      </c>
      <c r="H25" s="552">
        <v>0</v>
      </c>
      <c r="I25" s="15">
        <v>47.438000000000002</v>
      </c>
      <c r="J25" s="25">
        <v>0</v>
      </c>
      <c r="K25" s="15">
        <v>49.3</v>
      </c>
      <c r="L25" s="13"/>
      <c r="M25" s="15">
        <v>159.38499999999999</v>
      </c>
    </row>
    <row r="26" spans="1:13" s="247" customFormat="1">
      <c r="A26" s="55" t="s">
        <v>491</v>
      </c>
      <c r="B26" s="55"/>
      <c r="C26" s="55"/>
      <c r="D26" s="553"/>
      <c r="E26" s="513">
        <v>156.61699999999999</v>
      </c>
      <c r="F26" s="13"/>
      <c r="G26" s="15">
        <v>61.460999999999999</v>
      </c>
      <c r="H26" s="552">
        <v>0</v>
      </c>
      <c r="I26" s="15">
        <v>46.613999999999997</v>
      </c>
      <c r="J26" s="25">
        <v>0</v>
      </c>
      <c r="K26" s="15">
        <v>48.542000000000002</v>
      </c>
      <c r="L26" s="13"/>
      <c r="M26" s="15">
        <v>156.61699999999999</v>
      </c>
    </row>
    <row r="27" spans="1:13" s="247" customFormat="1">
      <c r="A27" s="55" t="s">
        <v>157</v>
      </c>
      <c r="B27" s="55"/>
      <c r="C27" s="55"/>
      <c r="D27" s="554"/>
      <c r="E27" s="513">
        <v>21.527000000000001</v>
      </c>
      <c r="F27" s="13"/>
      <c r="G27" s="15">
        <v>8.4480000000000004</v>
      </c>
      <c r="H27" s="552">
        <v>0</v>
      </c>
      <c r="I27" s="15">
        <v>6.407</v>
      </c>
      <c r="J27" s="25">
        <v>0</v>
      </c>
      <c r="K27" s="15">
        <v>6.6719999999999997</v>
      </c>
      <c r="L27" s="13"/>
      <c r="M27" s="15">
        <v>21.527000000000001</v>
      </c>
    </row>
    <row r="28" spans="1:13" s="247" customFormat="1">
      <c r="A28" s="55" t="s">
        <v>233</v>
      </c>
      <c r="B28" s="55"/>
      <c r="C28" s="55"/>
      <c r="D28" s="183"/>
      <c r="E28" s="513">
        <v>110.41300000000001</v>
      </c>
      <c r="F28" s="13"/>
      <c r="G28" s="15">
        <v>43.37</v>
      </c>
      <c r="H28" s="552">
        <v>0</v>
      </c>
      <c r="I28" s="15">
        <v>32.893000000000001</v>
      </c>
      <c r="J28" s="25">
        <v>0</v>
      </c>
      <c r="K28" s="15">
        <v>34.15</v>
      </c>
      <c r="L28" s="13"/>
      <c r="M28" s="15">
        <v>110.41300000000001</v>
      </c>
    </row>
    <row r="29" spans="1:13" s="247" customFormat="1">
      <c r="A29" s="55" t="s">
        <v>149</v>
      </c>
      <c r="B29" s="55"/>
      <c r="C29" s="55"/>
      <c r="D29" s="183"/>
      <c r="E29" s="513">
        <v>7.4779999999999998</v>
      </c>
      <c r="F29" s="13"/>
      <c r="G29" s="15">
        <v>5.8380000000000001</v>
      </c>
      <c r="H29" s="552">
        <v>0</v>
      </c>
      <c r="I29" s="15">
        <v>1.64</v>
      </c>
      <c r="J29" s="25">
        <v>0</v>
      </c>
      <c r="K29" s="15">
        <v>0</v>
      </c>
      <c r="L29" s="13"/>
      <c r="M29" s="15">
        <v>7.4779999999999998</v>
      </c>
    </row>
    <row r="30" spans="1:13" s="247" customFormat="1" hidden="1">
      <c r="A30" s="55" t="s">
        <v>146</v>
      </c>
      <c r="B30" s="34"/>
      <c r="C30" s="34"/>
      <c r="D30" s="189"/>
      <c r="E30" s="513">
        <v>0</v>
      </c>
      <c r="F30" s="6"/>
      <c r="G30" s="15">
        <v>0</v>
      </c>
      <c r="H30" s="552">
        <v>0</v>
      </c>
      <c r="I30" s="15">
        <v>0</v>
      </c>
      <c r="J30" s="25">
        <v>0</v>
      </c>
      <c r="K30" s="15">
        <v>0</v>
      </c>
      <c r="L30" s="13"/>
      <c r="M30" s="15">
        <v>0</v>
      </c>
    </row>
    <row r="31" spans="1:13" s="247" customFormat="1" hidden="1">
      <c r="A31" s="55" t="s">
        <v>156</v>
      </c>
      <c r="B31" s="34"/>
      <c r="C31" s="34"/>
      <c r="D31" s="189"/>
      <c r="E31" s="513">
        <v>7.5000000000000011E-2</v>
      </c>
      <c r="F31" s="6"/>
      <c r="G31" s="624">
        <v>2.5000000000000001E-2</v>
      </c>
      <c r="H31" s="552">
        <v>0</v>
      </c>
      <c r="I31" s="625">
        <v>2.5000000000000001E-2</v>
      </c>
      <c r="J31" s="25">
        <v>0</v>
      </c>
      <c r="K31" s="625">
        <v>2.5000000000000001E-2</v>
      </c>
      <c r="L31" s="13"/>
      <c r="M31" s="625">
        <v>7.5000000000000011E-2</v>
      </c>
    </row>
    <row r="32" spans="1:13" s="247" customFormat="1">
      <c r="A32" s="55" t="s">
        <v>265</v>
      </c>
      <c r="B32" s="34"/>
      <c r="C32" s="34"/>
      <c r="D32" s="76"/>
      <c r="E32" s="513">
        <v>20.700000000000003</v>
      </c>
      <c r="F32" s="13"/>
      <c r="G32" s="15">
        <v>6.9</v>
      </c>
      <c r="H32" s="552">
        <v>0</v>
      </c>
      <c r="I32" s="15">
        <v>6.9</v>
      </c>
      <c r="J32" s="25">
        <v>0</v>
      </c>
      <c r="K32" s="15">
        <v>6.9</v>
      </c>
      <c r="L32" s="13"/>
      <c r="M32" s="15">
        <v>20.700000000000003</v>
      </c>
    </row>
    <row r="33" spans="1:194" s="247" customFormat="1">
      <c r="A33" s="55" t="s">
        <v>317</v>
      </c>
      <c r="B33" s="34"/>
      <c r="C33" s="34"/>
      <c r="D33" s="76"/>
      <c r="E33" s="513">
        <v>111.5</v>
      </c>
      <c r="F33" s="13"/>
      <c r="G33" s="15">
        <v>37.167999999999999</v>
      </c>
      <c r="H33" s="552">
        <v>0</v>
      </c>
      <c r="I33" s="15">
        <v>37.165999999999997</v>
      </c>
      <c r="J33" s="25">
        <v>0</v>
      </c>
      <c r="K33" s="15">
        <v>37.165999999999997</v>
      </c>
      <c r="L33" s="13"/>
      <c r="M33" s="15">
        <v>111.5</v>
      </c>
    </row>
    <row r="34" spans="1:194" s="247" customFormat="1" hidden="1">
      <c r="A34" s="55" t="s">
        <v>234</v>
      </c>
      <c r="B34" s="34"/>
      <c r="C34" s="34"/>
      <c r="D34" s="76"/>
      <c r="E34" s="513">
        <v>0</v>
      </c>
      <c r="F34" s="13"/>
      <c r="G34" s="15">
        <v>0</v>
      </c>
      <c r="H34" s="552">
        <v>0</v>
      </c>
      <c r="I34" s="15">
        <v>0</v>
      </c>
      <c r="J34" s="25">
        <v>0</v>
      </c>
      <c r="K34" s="15">
        <v>0</v>
      </c>
      <c r="L34" s="13"/>
      <c r="M34" s="15">
        <v>0</v>
      </c>
    </row>
    <row r="35" spans="1:194" s="247" customFormat="1">
      <c r="A35" s="25" t="s">
        <v>9</v>
      </c>
      <c r="B35" s="25"/>
      <c r="C35" s="25"/>
      <c r="D35" s="183"/>
      <c r="E35" s="513">
        <v>25</v>
      </c>
      <c r="F35" s="6"/>
      <c r="G35" s="15">
        <v>8.3339999999999996</v>
      </c>
      <c r="H35" s="552">
        <v>0</v>
      </c>
      <c r="I35" s="15">
        <v>8.3330000000000002</v>
      </c>
      <c r="J35" s="25">
        <v>0</v>
      </c>
      <c r="K35" s="15">
        <v>8.3330000000000002</v>
      </c>
      <c r="L35" s="13"/>
      <c r="M35" s="15">
        <v>25</v>
      </c>
    </row>
    <row r="36" spans="1:194" s="247" customFormat="1" ht="3.75" customHeight="1">
      <c r="A36" s="25"/>
      <c r="B36" s="25"/>
      <c r="C36" s="25"/>
      <c r="D36" s="25"/>
      <c r="E36" s="514">
        <v>0</v>
      </c>
      <c r="F36" s="25"/>
      <c r="G36" s="17">
        <v>0</v>
      </c>
      <c r="H36" s="551"/>
      <c r="I36" s="17">
        <v>0</v>
      </c>
      <c r="J36" s="25"/>
      <c r="K36" s="17">
        <v>0</v>
      </c>
      <c r="L36" s="13"/>
      <c r="M36" s="17"/>
    </row>
    <row r="37" spans="1:194" s="247" customFormat="1">
      <c r="A37" s="187"/>
      <c r="B37" s="25"/>
      <c r="C37" s="25"/>
      <c r="D37" s="183"/>
      <c r="E37" s="525">
        <v>1594.0670000000002</v>
      </c>
      <c r="F37" s="6"/>
      <c r="G37" s="13">
        <v>619.87899999999991</v>
      </c>
      <c r="H37" s="552"/>
      <c r="I37" s="13">
        <v>479.51099999999997</v>
      </c>
      <c r="J37" s="551" t="e">
        <v>#REF!</v>
      </c>
      <c r="K37" s="13">
        <v>494.67700000000002</v>
      </c>
      <c r="L37" s="13"/>
      <c r="M37" s="13">
        <v>1594.0670000000002</v>
      </c>
    </row>
    <row r="38" spans="1:194" s="247" customFormat="1" ht="9.9499999999999993" customHeight="1">
      <c r="A38" s="25"/>
      <c r="B38" s="25"/>
      <c r="C38" s="25"/>
      <c r="D38" s="183"/>
      <c r="E38" s="525"/>
      <c r="F38" s="6"/>
      <c r="G38" s="13"/>
      <c r="H38" s="186"/>
      <c r="I38" s="13"/>
      <c r="J38" s="25"/>
      <c r="K38" s="13"/>
      <c r="L38" s="13"/>
      <c r="M38" s="13"/>
    </row>
    <row r="39" spans="1:194" s="247" customFormat="1">
      <c r="A39" s="187" t="s">
        <v>319</v>
      </c>
      <c r="B39" s="187"/>
      <c r="C39" s="187"/>
      <c r="D39" s="183"/>
      <c r="E39" s="550">
        <v>1746.7089999999996</v>
      </c>
      <c r="F39" s="6"/>
      <c r="G39" s="97">
        <v>760.02700000000004</v>
      </c>
      <c r="H39" s="186"/>
      <c r="I39" s="97">
        <v>510.42500000000007</v>
      </c>
      <c r="J39" s="25"/>
      <c r="K39" s="97">
        <v>476.25699999999995</v>
      </c>
      <c r="L39" s="13"/>
      <c r="M39" s="97">
        <v>1746.7089999999996</v>
      </c>
    </row>
    <row r="40" spans="1:194" s="247" customFormat="1" ht="9.9499999999999993" customHeight="1">
      <c r="A40" s="187"/>
      <c r="B40" s="187"/>
      <c r="C40" s="187"/>
      <c r="D40" s="183"/>
      <c r="E40" s="525"/>
      <c r="F40" s="6"/>
      <c r="G40" s="13"/>
      <c r="H40" s="186"/>
      <c r="I40" s="13"/>
      <c r="J40" s="25"/>
      <c r="K40" s="13"/>
      <c r="L40" s="13"/>
      <c r="M40" s="13"/>
    </row>
    <row r="41" spans="1:194" s="247" customFormat="1" ht="9.9499999999999993" customHeight="1">
      <c r="A41" s="25" t="s">
        <v>95</v>
      </c>
      <c r="B41" s="187"/>
      <c r="C41" s="187"/>
      <c r="D41" s="555"/>
      <c r="E41" s="511">
        <v>0</v>
      </c>
      <c r="F41" s="6"/>
      <c r="G41" s="13">
        <v>0</v>
      </c>
      <c r="H41" s="347"/>
      <c r="I41" s="13">
        <v>0</v>
      </c>
      <c r="J41" s="25"/>
      <c r="K41" s="13">
        <v>0</v>
      </c>
      <c r="L41" s="13"/>
      <c r="M41" s="13">
        <v>0</v>
      </c>
    </row>
    <row r="42" spans="1:194" s="247" customFormat="1" ht="9.9499999999999993" customHeight="1">
      <c r="A42" s="25"/>
      <c r="B42" s="187"/>
      <c r="C42" s="187"/>
      <c r="D42" s="183"/>
      <c r="E42" s="525"/>
      <c r="F42" s="6"/>
      <c r="G42" s="13"/>
      <c r="H42" s="186"/>
      <c r="I42" s="13"/>
      <c r="J42" s="25"/>
      <c r="K42" s="13"/>
      <c r="L42" s="13"/>
      <c r="M42" s="13"/>
    </row>
    <row r="43" spans="1:194" s="247" customFormat="1" ht="9.9499999999999993" customHeight="1" thickBot="1">
      <c r="A43" s="187" t="s">
        <v>321</v>
      </c>
      <c r="B43" s="187"/>
      <c r="C43" s="187"/>
      <c r="D43" s="191"/>
      <c r="E43" s="556" t="e">
        <v>#REF!</v>
      </c>
      <c r="F43" s="425"/>
      <c r="G43" s="192">
        <v>760.02700000000004</v>
      </c>
      <c r="H43" s="186"/>
      <c r="I43" s="192">
        <v>510.42500000000007</v>
      </c>
      <c r="J43" s="557" t="e">
        <v>#REF!</v>
      </c>
      <c r="K43" s="192">
        <v>476.25699999999995</v>
      </c>
      <c r="L43" s="196"/>
      <c r="M43" s="192">
        <v>1746.7089999999996</v>
      </c>
    </row>
    <row r="44" spans="1:194" s="272" customFormat="1" ht="9.9499999999999993" customHeight="1" thickTop="1">
      <c r="A44" s="193"/>
      <c r="B44" s="194"/>
      <c r="C44" s="194"/>
      <c r="D44" s="191"/>
      <c r="E44" s="558"/>
      <c r="F44" s="425"/>
      <c r="G44" s="196"/>
      <c r="H44" s="559"/>
      <c r="I44" s="195"/>
      <c r="J44" s="195"/>
      <c r="K44" s="195"/>
      <c r="L44" s="195"/>
      <c r="M44" s="195"/>
    </row>
    <row r="45" spans="1:194" s="272" customFormat="1" ht="9.9499999999999993" customHeight="1">
      <c r="A45" s="560"/>
      <c r="B45" s="187"/>
      <c r="C45" s="187"/>
      <c r="D45" s="555"/>
      <c r="E45" s="561"/>
      <c r="F45" s="4"/>
      <c r="G45" s="4"/>
      <c r="H45" s="25"/>
      <c r="I45" s="195"/>
      <c r="J45" s="195"/>
      <c r="K45" s="195"/>
      <c r="L45" s="195"/>
      <c r="M45" s="195"/>
    </row>
    <row r="46" spans="1:194" s="247" customFormat="1" ht="9.9499999999999993" customHeight="1">
      <c r="A46" s="25"/>
      <c r="B46" s="25"/>
      <c r="C46" s="25"/>
      <c r="D46" s="35"/>
      <c r="E46" s="562"/>
      <c r="F46" s="562"/>
      <c r="G46" s="704" t="s">
        <v>322</v>
      </c>
      <c r="H46" s="705"/>
      <c r="I46" s="705"/>
      <c r="J46" s="705"/>
      <c r="K46" s="706"/>
      <c r="L46" s="563"/>
      <c r="M46" s="563"/>
    </row>
    <row r="47" spans="1:194" s="247" customFormat="1" ht="9.9499999999999993" customHeight="1">
      <c r="A47" s="25"/>
      <c r="B47" s="25"/>
      <c r="C47" s="25"/>
      <c r="D47" s="35"/>
      <c r="E47" s="564"/>
      <c r="F47" s="536"/>
      <c r="G47" s="536"/>
      <c r="H47" s="536"/>
      <c r="I47" s="25"/>
      <c r="J47" s="25"/>
      <c r="K47" s="25"/>
      <c r="L47" s="25"/>
      <c r="M47" s="25"/>
    </row>
    <row r="48" spans="1:194" s="247" customFormat="1" ht="12.75" thickBot="1">
      <c r="A48" s="560" t="s">
        <v>320</v>
      </c>
      <c r="B48" s="25"/>
      <c r="C48" s="25"/>
      <c r="D48" s="685">
        <v>8</v>
      </c>
      <c r="E48" s="565"/>
      <c r="F48" s="10"/>
      <c r="G48" s="566">
        <v>0.2931325287521071</v>
      </c>
      <c r="H48" s="430"/>
      <c r="I48" s="566">
        <v>0.26332858210392995</v>
      </c>
      <c r="J48" s="13"/>
      <c r="K48" s="566">
        <v>0.23590788106816726</v>
      </c>
      <c r="L48" s="430"/>
      <c r="M48" s="430"/>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row>
    <row r="49" spans="1:194" s="247" customFormat="1" ht="10.5" thickTop="1">
      <c r="D49" s="248"/>
      <c r="E49" s="255"/>
      <c r="F49" s="255"/>
      <c r="G49" s="255"/>
      <c r="H49" s="277"/>
      <c r="I49" s="257"/>
      <c r="J49" s="257"/>
      <c r="K49" s="257"/>
      <c r="L49" s="354"/>
      <c r="M49" s="354"/>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7"/>
      <c r="BR49" s="257"/>
      <c r="BS49" s="257"/>
      <c r="BT49" s="257"/>
      <c r="BU49" s="257"/>
      <c r="BV49" s="257"/>
      <c r="BW49" s="257"/>
      <c r="BX49" s="257"/>
      <c r="BY49" s="257"/>
      <c r="BZ49" s="257"/>
      <c r="CA49" s="257"/>
      <c r="CB49" s="257"/>
      <c r="CC49" s="257"/>
      <c r="CD49" s="257"/>
      <c r="CE49" s="257"/>
      <c r="CF49" s="257"/>
      <c r="CG49" s="257"/>
      <c r="CH49" s="257"/>
      <c r="CI49" s="257"/>
      <c r="CJ49" s="257"/>
      <c r="CK49" s="257"/>
      <c r="CL49" s="257"/>
      <c r="CM49" s="257"/>
      <c r="CN49" s="257"/>
      <c r="CO49" s="257"/>
      <c r="CP49" s="257"/>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c r="EO49" s="257"/>
      <c r="EP49" s="257"/>
      <c r="EQ49" s="257"/>
      <c r="ER49" s="257"/>
      <c r="ES49" s="257"/>
      <c r="ET49" s="257"/>
      <c r="EU49" s="257"/>
      <c r="EV49" s="257"/>
      <c r="EW49" s="257"/>
      <c r="EX49" s="257"/>
      <c r="EY49" s="257"/>
      <c r="EZ49" s="257"/>
      <c r="FA49" s="257"/>
      <c r="FB49" s="257"/>
      <c r="FC49" s="257"/>
      <c r="FD49" s="257"/>
      <c r="FE49" s="257"/>
      <c r="FF49" s="257"/>
      <c r="FG49" s="257"/>
      <c r="FH49" s="257"/>
      <c r="FI49" s="257"/>
      <c r="FJ49" s="257"/>
      <c r="FK49" s="257"/>
      <c r="FL49" s="257"/>
      <c r="FM49" s="257"/>
      <c r="FN49" s="257"/>
      <c r="FO49" s="257"/>
      <c r="FP49" s="257"/>
      <c r="FQ49" s="257"/>
      <c r="FR49" s="257"/>
      <c r="FS49" s="257"/>
      <c r="FT49" s="257"/>
      <c r="FU49" s="257"/>
      <c r="FV49" s="257"/>
      <c r="FW49" s="257"/>
      <c r="FX49" s="257"/>
      <c r="FY49" s="257"/>
      <c r="FZ49" s="257"/>
      <c r="GA49" s="257"/>
      <c r="GB49" s="257"/>
      <c r="GC49" s="257"/>
      <c r="GD49" s="257"/>
      <c r="GE49" s="257"/>
      <c r="GF49" s="257"/>
      <c r="GG49" s="257"/>
      <c r="GH49" s="257"/>
      <c r="GI49" s="257"/>
      <c r="GJ49" s="257"/>
      <c r="GK49" s="257"/>
      <c r="GL49" s="257"/>
    </row>
    <row r="50" spans="1:194" s="247" customFormat="1" ht="9.9499999999999993" customHeight="1">
      <c r="A50" s="247" t="s">
        <v>480</v>
      </c>
      <c r="D50" s="248"/>
      <c r="E50" s="255"/>
      <c r="F50" s="255"/>
      <c r="G50" s="255"/>
      <c r="H50" s="277"/>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4"/>
      <c r="BZ50" s="354"/>
      <c r="CA50" s="354"/>
      <c r="CB50" s="354"/>
      <c r="CC50" s="354"/>
      <c r="CD50" s="354"/>
      <c r="CE50" s="354"/>
      <c r="CF50" s="354"/>
      <c r="CG50" s="354"/>
      <c r="CH50" s="354"/>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4"/>
      <c r="DF50" s="354"/>
      <c r="DG50" s="354"/>
      <c r="DH50" s="354"/>
      <c r="DI50" s="354"/>
      <c r="DJ50" s="354"/>
      <c r="DK50" s="354"/>
      <c r="DL50" s="354"/>
      <c r="DM50" s="354"/>
      <c r="DN50" s="354"/>
      <c r="DO50" s="354"/>
      <c r="DP50" s="354"/>
      <c r="DQ50" s="354"/>
      <c r="DR50" s="354"/>
      <c r="DS50" s="354"/>
      <c r="DT50" s="354"/>
      <c r="DU50" s="354"/>
      <c r="DV50" s="354"/>
      <c r="DW50" s="354"/>
      <c r="DX50" s="354"/>
      <c r="DY50" s="354"/>
      <c r="DZ50" s="354"/>
      <c r="EA50" s="354"/>
      <c r="EB50" s="354"/>
      <c r="EC50" s="354"/>
      <c r="ED50" s="354"/>
      <c r="EE50" s="354"/>
      <c r="EF50" s="354"/>
      <c r="EG50" s="354"/>
      <c r="EH50" s="354"/>
      <c r="EI50" s="354"/>
      <c r="EJ50" s="354"/>
      <c r="EK50" s="354"/>
      <c r="EL50" s="354"/>
      <c r="EM50" s="354"/>
      <c r="EN50" s="354"/>
      <c r="EO50" s="354"/>
      <c r="EP50" s="354"/>
      <c r="EQ50" s="354"/>
      <c r="ER50" s="354"/>
      <c r="ES50" s="354"/>
      <c r="ET50" s="354"/>
      <c r="EU50" s="354"/>
      <c r="EV50" s="354"/>
      <c r="EW50" s="354"/>
      <c r="EX50" s="354"/>
      <c r="EY50" s="354"/>
      <c r="EZ50" s="354"/>
      <c r="FA50" s="354"/>
      <c r="FB50" s="354"/>
      <c r="FC50" s="354"/>
      <c r="FD50" s="354"/>
      <c r="FE50" s="354"/>
      <c r="FF50" s="354"/>
      <c r="FG50" s="354"/>
      <c r="FH50" s="354"/>
      <c r="FI50" s="354"/>
      <c r="FJ50" s="354"/>
      <c r="FK50" s="354"/>
      <c r="FL50" s="354"/>
      <c r="FM50" s="354"/>
      <c r="FN50" s="354"/>
      <c r="FO50" s="354"/>
      <c r="FP50" s="354"/>
      <c r="FQ50" s="354"/>
      <c r="FR50" s="354"/>
      <c r="FS50" s="354"/>
      <c r="FT50" s="354"/>
      <c r="FU50" s="354"/>
      <c r="FV50" s="354"/>
      <c r="FW50" s="354"/>
      <c r="FX50" s="354"/>
      <c r="FY50" s="354"/>
      <c r="FZ50" s="354"/>
      <c r="GA50" s="354"/>
      <c r="GB50" s="354"/>
      <c r="GC50" s="354"/>
      <c r="GD50" s="354"/>
      <c r="GE50" s="354"/>
      <c r="GF50" s="354"/>
      <c r="GG50" s="354"/>
      <c r="GH50" s="354"/>
      <c r="GI50" s="354"/>
      <c r="GJ50" s="354"/>
      <c r="GK50" s="354"/>
      <c r="GL50" s="354"/>
    </row>
    <row r="51" spans="1:194" s="247" customFormat="1" ht="9.9499999999999993" customHeight="1">
      <c r="D51" s="248"/>
      <c r="E51" s="255"/>
      <c r="F51" s="255"/>
      <c r="G51" s="255"/>
      <c r="H51" s="277"/>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c r="CE51" s="354"/>
      <c r="CF51" s="354"/>
      <c r="CG51" s="354"/>
      <c r="CH51" s="354"/>
      <c r="CI51" s="354"/>
      <c r="CJ51" s="354"/>
      <c r="CK51" s="354"/>
      <c r="CL51" s="354"/>
      <c r="CM51" s="354"/>
      <c r="CN51" s="354"/>
      <c r="CO51" s="354"/>
      <c r="CP51" s="354"/>
      <c r="CQ51" s="354"/>
      <c r="CR51" s="354"/>
      <c r="CS51" s="354"/>
      <c r="CT51" s="354"/>
      <c r="CU51" s="354"/>
      <c r="CV51" s="354"/>
      <c r="CW51" s="354"/>
      <c r="CX51" s="354"/>
      <c r="CY51" s="354"/>
      <c r="CZ51" s="354"/>
      <c r="DA51" s="354"/>
      <c r="DB51" s="354"/>
      <c r="DC51" s="354"/>
      <c r="DD51" s="354"/>
      <c r="DE51" s="354"/>
      <c r="DF51" s="354"/>
      <c r="DG51" s="354"/>
      <c r="DH51" s="354"/>
      <c r="DI51" s="354"/>
      <c r="DJ51" s="354"/>
      <c r="DK51" s="354"/>
      <c r="DL51" s="354"/>
      <c r="DM51" s="354"/>
      <c r="DN51" s="354"/>
      <c r="DO51" s="354"/>
      <c r="DP51" s="354"/>
      <c r="DQ51" s="354"/>
      <c r="DR51" s="354"/>
      <c r="DS51" s="354"/>
      <c r="DT51" s="354"/>
      <c r="DU51" s="354"/>
      <c r="DV51" s="354"/>
      <c r="DW51" s="354"/>
      <c r="DX51" s="354"/>
      <c r="DY51" s="354"/>
      <c r="DZ51" s="354"/>
      <c r="EA51" s="354"/>
      <c r="EB51" s="354"/>
      <c r="EC51" s="354"/>
      <c r="ED51" s="354"/>
      <c r="EE51" s="354"/>
      <c r="EF51" s="354"/>
      <c r="EG51" s="354"/>
      <c r="EH51" s="354"/>
      <c r="EI51" s="354"/>
      <c r="EJ51" s="354"/>
      <c r="EK51" s="354"/>
      <c r="EL51" s="354"/>
      <c r="EM51" s="354"/>
      <c r="EN51" s="354"/>
      <c r="EO51" s="354"/>
      <c r="EP51" s="354"/>
      <c r="EQ51" s="354"/>
      <c r="ER51" s="354"/>
      <c r="ES51" s="354"/>
      <c r="ET51" s="354"/>
      <c r="EU51" s="354"/>
      <c r="EV51" s="354"/>
      <c r="EW51" s="354"/>
      <c r="EX51" s="354"/>
      <c r="EY51" s="354"/>
      <c r="EZ51" s="354"/>
      <c r="FA51" s="354"/>
      <c r="FB51" s="354"/>
      <c r="FC51" s="354"/>
      <c r="FD51" s="354"/>
      <c r="FE51" s="354"/>
      <c r="FF51" s="354"/>
      <c r="FG51" s="354"/>
      <c r="FH51" s="354"/>
      <c r="FI51" s="354"/>
      <c r="FJ51" s="354"/>
      <c r="FK51" s="354"/>
      <c r="FL51" s="354"/>
      <c r="FM51" s="354"/>
      <c r="FN51" s="354"/>
      <c r="FO51" s="354"/>
      <c r="FP51" s="354"/>
      <c r="FQ51" s="354"/>
      <c r="FR51" s="354"/>
      <c r="FS51" s="354"/>
      <c r="FT51" s="354"/>
      <c r="FU51" s="354"/>
      <c r="FV51" s="354"/>
      <c r="FW51" s="354"/>
      <c r="FX51" s="354"/>
      <c r="FY51" s="354"/>
      <c r="FZ51" s="354"/>
      <c r="GA51" s="354"/>
      <c r="GB51" s="354"/>
      <c r="GC51" s="354"/>
      <c r="GD51" s="354"/>
      <c r="GE51" s="354"/>
      <c r="GF51" s="354"/>
      <c r="GG51" s="354"/>
      <c r="GH51" s="354"/>
      <c r="GI51" s="354"/>
      <c r="GJ51" s="354"/>
      <c r="GK51" s="354"/>
      <c r="GL51" s="354"/>
    </row>
    <row r="52" spans="1:194" s="247" customFormat="1">
      <c r="A52" s="707" t="s">
        <v>401</v>
      </c>
      <c r="B52" s="707"/>
      <c r="C52" s="707"/>
      <c r="D52" s="707"/>
      <c r="E52" s="707"/>
      <c r="F52" s="707"/>
      <c r="G52" s="707"/>
      <c r="H52" s="707"/>
      <c r="I52" s="707"/>
      <c r="J52" s="707"/>
      <c r="K52" s="707"/>
      <c r="L52" s="707"/>
      <c r="M52" s="70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row>
    <row r="53" spans="1:194" s="29" customFormat="1">
      <c r="A53" s="707" t="s">
        <v>402</v>
      </c>
      <c r="B53" s="707"/>
      <c r="C53" s="707"/>
      <c r="D53" s="707"/>
      <c r="E53" s="707"/>
      <c r="F53" s="707"/>
      <c r="G53" s="707"/>
      <c r="H53" s="707"/>
      <c r="I53" s="707"/>
      <c r="J53" s="707"/>
      <c r="K53" s="707"/>
      <c r="L53" s="707"/>
      <c r="M53" s="707"/>
    </row>
    <row r="54" spans="1:194" s="29" customFormat="1">
      <c r="A54" s="26"/>
      <c r="B54" s="26"/>
      <c r="C54" s="26"/>
      <c r="D54" s="3"/>
      <c r="E54" s="3"/>
      <c r="F54" s="3"/>
      <c r="G54" s="3"/>
      <c r="H54" s="3"/>
      <c r="I54" s="3"/>
      <c r="J54" s="3"/>
      <c r="K54" s="5"/>
      <c r="L54" s="5"/>
      <c r="M54" s="5"/>
    </row>
    <row r="55" spans="1:194" s="4" customFormat="1">
      <c r="D55" s="432"/>
      <c r="E55" s="432"/>
      <c r="F55" s="432"/>
      <c r="G55" s="432"/>
      <c r="H55" s="432"/>
      <c r="I55" s="432"/>
      <c r="J55" s="432"/>
      <c r="K55" s="14"/>
      <c r="L55" s="14"/>
      <c r="M55" s="14"/>
    </row>
    <row r="56" spans="1:194">
      <c r="A56" s="66" t="s">
        <v>483</v>
      </c>
      <c r="B56" s="4"/>
      <c r="C56" s="4"/>
      <c r="D56" s="4"/>
      <c r="E56" s="4"/>
      <c r="F56" s="4"/>
      <c r="G56" s="4"/>
      <c r="H56" s="4"/>
      <c r="I56" s="4"/>
      <c r="J56" s="4"/>
      <c r="K56" s="4"/>
    </row>
    <row r="57" spans="1:194">
      <c r="A57" s="66" t="s">
        <v>403</v>
      </c>
      <c r="B57" s="27"/>
      <c r="C57" s="27"/>
      <c r="D57" s="27"/>
      <c r="E57" s="28"/>
      <c r="F57" s="27"/>
      <c r="G57" s="27"/>
      <c r="H57" s="27"/>
      <c r="I57" s="27"/>
      <c r="J57" s="27"/>
      <c r="K57" s="4"/>
    </row>
    <row r="58" spans="1:194">
      <c r="A58" s="4"/>
      <c r="B58" s="4"/>
      <c r="C58" s="4"/>
      <c r="D58" s="4"/>
      <c r="E58" s="5"/>
      <c r="F58" s="6"/>
      <c r="G58" s="4"/>
      <c r="H58" s="6"/>
      <c r="I58" s="4"/>
      <c r="J58" s="6"/>
      <c r="K58" s="4"/>
    </row>
  </sheetData>
  <customSheetViews>
    <customSheetView guid="{84FBBE83-FF6F-4C76-A58E-D04643F715A5}" showPageBreaks="1" printArea="1" hiddenRows="1" view="pageBreakPreview" topLeftCell="A10">
      <selection activeCell="K26" sqref="K26"/>
      <pageMargins left="0.75" right="0.5" top="0.5" bottom="0.25" header="0.5" footer="0.5"/>
      <printOptions horizontalCentered="1"/>
      <pageSetup paperSize="9" fitToWidth="12" fitToHeight="12" orientation="portrait" r:id="rId1"/>
      <headerFooter alignWithMargins="0">
        <oddFooter>&amp;C2 of 11</oddFooter>
      </headerFooter>
    </customSheetView>
  </customSheetViews>
  <mergeCells count="4">
    <mergeCell ref="G46:K46"/>
    <mergeCell ref="E6:M6"/>
    <mergeCell ref="A52:M52"/>
    <mergeCell ref="A53:M53"/>
  </mergeCells>
  <phoneticPr fontId="7" type="noConversion"/>
  <printOptions horizontalCentered="1"/>
  <pageMargins left="0.75" right="0.5" top="0.5" bottom="0.25" header="0.5" footer="0.5"/>
  <pageSetup paperSize="9" scale="90" fitToWidth="12" fitToHeight="12" orientation="portrait" r:id="rId2"/>
  <headerFooter alignWithMargins="0">
    <oddFooter>&amp;C2 of 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21"/>
  </sheetPr>
  <dimension ref="A1:J55"/>
  <sheetViews>
    <sheetView view="pageBreakPreview" topLeftCell="A13" zoomScale="110" zoomScaleSheetLayoutView="110" workbookViewId="0">
      <selection activeCell="G11" sqref="G11"/>
    </sheetView>
  </sheetViews>
  <sheetFormatPr defaultRowHeight="12"/>
  <cols>
    <col min="1" max="4" width="9" style="181"/>
    <col min="5" max="5" width="18.125" style="181" customWidth="1"/>
    <col min="6" max="6" width="15" style="181" customWidth="1"/>
    <col min="7" max="7" width="14.625" style="181" customWidth="1"/>
    <col min="8" max="8" width="13.5" style="181" customWidth="1"/>
    <col min="9" max="9" width="9.125" style="181" bestFit="1" customWidth="1"/>
    <col min="10" max="16384" width="9" style="181"/>
  </cols>
  <sheetData>
    <row r="1" spans="1:8" s="81" customFormat="1">
      <c r="A1" s="2" t="str">
        <f>[46]BS!$A$1</f>
        <v>NATIONAL INVESTMENT (UNIT) TRUST</v>
      </c>
      <c r="B1" s="87"/>
      <c r="C1" s="87"/>
      <c r="D1" s="87"/>
      <c r="E1" s="87"/>
      <c r="F1" s="88"/>
      <c r="G1" s="88"/>
      <c r="H1" s="357" t="s">
        <v>207</v>
      </c>
    </row>
    <row r="2" spans="1:8" s="81" customFormat="1">
      <c r="A2" s="89" t="s">
        <v>132</v>
      </c>
      <c r="B2" s="89"/>
      <c r="C2" s="89"/>
      <c r="D2" s="87"/>
      <c r="E2" s="87"/>
      <c r="F2" s="88"/>
      <c r="G2" s="88"/>
      <c r="H2" s="88"/>
    </row>
    <row r="3" spans="1:8" s="80" customFormat="1">
      <c r="A3" s="89" t="s">
        <v>165</v>
      </c>
      <c r="B3" s="89"/>
      <c r="C3" s="89"/>
      <c r="D3" s="87"/>
      <c r="E3" s="87"/>
      <c r="F3" s="90"/>
      <c r="G3" s="90"/>
      <c r="H3" s="90"/>
    </row>
    <row r="4" spans="1:8">
      <c r="A4" s="346" t="s">
        <v>195</v>
      </c>
      <c r="F4" s="181" t="s">
        <v>204</v>
      </c>
      <c r="G4" s="181" t="s">
        <v>205</v>
      </c>
    </row>
    <row r="5" spans="1:8" ht="55.5" customHeight="1">
      <c r="F5" s="243" t="s">
        <v>221</v>
      </c>
      <c r="G5" s="243" t="s">
        <v>222</v>
      </c>
      <c r="H5" s="243" t="s">
        <v>36</v>
      </c>
    </row>
    <row r="6" spans="1:8">
      <c r="F6" s="344" t="s">
        <v>179</v>
      </c>
      <c r="G6" s="344" t="s">
        <v>180</v>
      </c>
      <c r="H6" s="344" t="s">
        <v>181</v>
      </c>
    </row>
    <row r="7" spans="1:8" ht="10.5" customHeight="1">
      <c r="F7" s="708" t="s">
        <v>188</v>
      </c>
      <c r="G7" s="709"/>
      <c r="H7" s="709"/>
    </row>
    <row r="8" spans="1:8" ht="12.75">
      <c r="A8" s="309" t="s">
        <v>173</v>
      </c>
    </row>
    <row r="9" spans="1:8">
      <c r="A9" s="55" t="s">
        <v>61</v>
      </c>
      <c r="B9" s="55"/>
      <c r="C9" s="55"/>
      <c r="D9" s="25"/>
      <c r="E9" s="183"/>
      <c r="F9" s="6">
        <f>'P&amp;L'!E10</f>
        <v>1149.769</v>
      </c>
      <c r="G9" s="6">
        <v>1119324</v>
      </c>
      <c r="H9" s="6">
        <f t="shared" ref="H9:H14" si="0">F9-G9</f>
        <v>-1118174.2309999999</v>
      </c>
    </row>
    <row r="10" spans="1:8">
      <c r="A10" s="55" t="s">
        <v>155</v>
      </c>
      <c r="B10" s="55"/>
      <c r="C10" s="55"/>
      <c r="D10" s="25"/>
      <c r="E10" s="183"/>
      <c r="F10" s="6">
        <f>'P&amp;L'!E11</f>
        <v>0</v>
      </c>
      <c r="G10" s="6">
        <v>1450672</v>
      </c>
      <c r="H10" s="6">
        <f t="shared" si="0"/>
        <v>-1450672</v>
      </c>
    </row>
    <row r="11" spans="1:8">
      <c r="A11" s="55" t="s">
        <v>30</v>
      </c>
      <c r="B11" s="184"/>
      <c r="C11" s="184"/>
      <c r="D11" s="25"/>
      <c r="E11" s="183"/>
      <c r="F11" s="6">
        <f>'P&amp;L'!E12</f>
        <v>0</v>
      </c>
      <c r="G11" s="6">
        <v>8005</v>
      </c>
      <c r="H11" s="6">
        <f t="shared" si="0"/>
        <v>-8005</v>
      </c>
    </row>
    <row r="12" spans="1:8">
      <c r="A12" s="55" t="s">
        <v>135</v>
      </c>
      <c r="B12" s="55"/>
      <c r="C12" s="55"/>
      <c r="D12" s="25"/>
      <c r="E12" s="35"/>
      <c r="F12" s="6">
        <f>'P&amp;L'!E13</f>
        <v>2191.0070000000001</v>
      </c>
      <c r="G12" s="6">
        <v>34887</v>
      </c>
      <c r="H12" s="6">
        <f t="shared" si="0"/>
        <v>-32695.992999999999</v>
      </c>
    </row>
    <row r="13" spans="1:8">
      <c r="A13" s="55" t="s">
        <v>79</v>
      </c>
      <c r="B13" s="55"/>
      <c r="C13" s="55"/>
      <c r="D13" s="25"/>
      <c r="E13" s="35"/>
      <c r="F13" s="6">
        <f>'P&amp;L'!E14</f>
        <v>0</v>
      </c>
      <c r="G13" s="6">
        <v>9216</v>
      </c>
      <c r="H13" s="6">
        <f t="shared" si="0"/>
        <v>-9216</v>
      </c>
    </row>
    <row r="14" spans="1:8">
      <c r="A14" s="55" t="s">
        <v>136</v>
      </c>
      <c r="B14" s="55"/>
      <c r="C14" s="55"/>
      <c r="D14" s="25"/>
      <c r="E14" s="16"/>
      <c r="F14" s="6">
        <v>0</v>
      </c>
      <c r="G14" s="6">
        <v>0</v>
      </c>
      <c r="H14" s="6">
        <f t="shared" si="0"/>
        <v>0</v>
      </c>
    </row>
    <row r="15" spans="1:8">
      <c r="A15" s="55"/>
      <c r="B15" s="55"/>
      <c r="C15" s="55"/>
      <c r="D15" s="25"/>
      <c r="E15" s="16"/>
      <c r="F15" s="97">
        <f>SUM(F9:F14)</f>
        <v>3340.7759999999998</v>
      </c>
      <c r="G15" s="97">
        <f>SUM(G9:G14)</f>
        <v>2622104</v>
      </c>
      <c r="H15" s="97">
        <f>SUM(H9:H14)</f>
        <v>-2618763.2239999995</v>
      </c>
    </row>
    <row r="16" spans="1:8">
      <c r="A16" s="55"/>
      <c r="B16" s="55"/>
      <c r="C16" s="55"/>
      <c r="D16" s="25"/>
      <c r="E16" s="16"/>
      <c r="F16" s="13"/>
      <c r="G16" s="13"/>
      <c r="H16" s="13"/>
    </row>
    <row r="17" spans="1:10">
      <c r="A17" s="55" t="s">
        <v>209</v>
      </c>
      <c r="B17" s="55"/>
      <c r="C17" s="55"/>
      <c r="D17" s="25"/>
      <c r="E17" s="35"/>
      <c r="F17" s="6"/>
      <c r="G17" s="6"/>
      <c r="H17" s="6"/>
    </row>
    <row r="18" spans="1:10">
      <c r="A18" s="185" t="s">
        <v>37</v>
      </c>
      <c r="B18" s="55"/>
      <c r="C18" s="55"/>
      <c r="D18" s="25"/>
      <c r="E18" s="183"/>
      <c r="F18" s="13">
        <f>'P&amp;L'!E20</f>
        <v>0</v>
      </c>
      <c r="G18" s="13">
        <v>777634</v>
      </c>
      <c r="H18" s="13">
        <f>F18-G18</f>
        <v>-777634</v>
      </c>
    </row>
    <row r="19" spans="1:10">
      <c r="A19" s="184" t="s">
        <v>74</v>
      </c>
      <c r="B19" s="55"/>
      <c r="C19" s="55"/>
      <c r="D19" s="25"/>
      <c r="E19" s="183"/>
      <c r="F19" s="13">
        <v>0</v>
      </c>
      <c r="G19" s="13">
        <v>0</v>
      </c>
      <c r="H19" s="13">
        <f>F19-G19</f>
        <v>0</v>
      </c>
    </row>
    <row r="20" spans="1:10">
      <c r="A20" s="96"/>
      <c r="B20" s="186"/>
      <c r="C20" s="186"/>
      <c r="D20" s="25"/>
      <c r="E20" s="16"/>
      <c r="F20" s="97">
        <f>F18+F19</f>
        <v>0</v>
      </c>
      <c r="G20" s="97">
        <f>G18+G19</f>
        <v>777634</v>
      </c>
      <c r="H20" s="97">
        <f>H18+H19</f>
        <v>-777634</v>
      </c>
    </row>
    <row r="21" spans="1:10">
      <c r="A21" s="96"/>
      <c r="B21" s="186"/>
      <c r="C21" s="186"/>
      <c r="D21" s="25"/>
      <c r="E21" s="16"/>
      <c r="F21" s="13"/>
      <c r="G21" s="13"/>
      <c r="H21" s="13"/>
    </row>
    <row r="22" spans="1:10">
      <c r="A22" s="96" t="s">
        <v>63</v>
      </c>
      <c r="B22" s="186"/>
      <c r="C22" s="186"/>
      <c r="D22" s="25"/>
      <c r="E22" s="16"/>
      <c r="F22" s="13">
        <f>F15+F20</f>
        <v>3340.7759999999998</v>
      </c>
      <c r="G22" s="13">
        <f>G15+G20</f>
        <v>3399738</v>
      </c>
      <c r="H22" s="13">
        <f>H15+H20</f>
        <v>-3396397.2239999995</v>
      </c>
    </row>
    <row r="23" spans="1:10">
      <c r="A23" s="96"/>
      <c r="B23" s="186"/>
      <c r="C23" s="186"/>
      <c r="D23" s="25"/>
      <c r="E23" s="16"/>
      <c r="F23" s="13"/>
      <c r="G23" s="13"/>
      <c r="H23" s="13"/>
    </row>
    <row r="24" spans="1:10">
      <c r="A24" s="187" t="s">
        <v>82</v>
      </c>
      <c r="B24" s="187"/>
      <c r="C24" s="187"/>
      <c r="D24" s="25"/>
      <c r="E24" s="183"/>
      <c r="F24" s="6"/>
      <c r="G24" s="6"/>
      <c r="H24" s="6"/>
    </row>
    <row r="25" spans="1:10">
      <c r="A25" s="55" t="s">
        <v>31</v>
      </c>
      <c r="B25" s="187"/>
      <c r="C25" s="187"/>
      <c r="D25" s="25"/>
      <c r="E25" s="183"/>
      <c r="F25" s="12">
        <f>ROUND('P&amp;L'!E23,0)</f>
        <v>0</v>
      </c>
      <c r="G25" s="12">
        <v>16668</v>
      </c>
      <c r="H25" s="12">
        <f t="shared" ref="H25:H37" si="1">F25-G25</f>
        <v>-16668</v>
      </c>
    </row>
    <row r="26" spans="1:10">
      <c r="A26" s="55" t="s">
        <v>80</v>
      </c>
      <c r="B26" s="55"/>
      <c r="C26" s="55"/>
      <c r="D26" s="25"/>
      <c r="E26" s="188"/>
      <c r="F26" s="15">
        <f>'P&amp;L'!E24</f>
        <v>981.37200000000007</v>
      </c>
      <c r="G26" s="15">
        <v>243213</v>
      </c>
      <c r="H26" s="15">
        <f t="shared" si="1"/>
        <v>-242231.628</v>
      </c>
      <c r="J26" s="181">
        <f>102649/116*100</f>
        <v>88490.517241379319</v>
      </c>
    </row>
    <row r="27" spans="1:10">
      <c r="A27" s="55" t="s">
        <v>199</v>
      </c>
      <c r="B27" s="55"/>
      <c r="C27" s="55"/>
      <c r="D27" s="25"/>
      <c r="E27" s="188"/>
      <c r="F27" s="15">
        <f>'P&amp;L'!E25</f>
        <v>159.38499999999999</v>
      </c>
      <c r="G27" s="15">
        <v>45801</v>
      </c>
      <c r="H27" s="15">
        <f t="shared" si="1"/>
        <v>-45641.614999999998</v>
      </c>
      <c r="J27" s="181">
        <f>ROUND(J26,0)</f>
        <v>88491</v>
      </c>
    </row>
    <row r="28" spans="1:10">
      <c r="A28" s="55" t="s">
        <v>223</v>
      </c>
      <c r="B28" s="55"/>
      <c r="C28" s="55"/>
      <c r="D28" s="25"/>
      <c r="E28" s="188"/>
      <c r="F28" s="15">
        <f>'P&amp;L'!E26</f>
        <v>156.61699999999999</v>
      </c>
      <c r="G28" s="15">
        <v>43046</v>
      </c>
      <c r="H28" s="15">
        <f t="shared" si="1"/>
        <v>-42889.383000000002</v>
      </c>
    </row>
    <row r="29" spans="1:10">
      <c r="A29" s="55" t="s">
        <v>157</v>
      </c>
      <c r="B29" s="55"/>
      <c r="C29" s="55"/>
      <c r="D29" s="25"/>
      <c r="E29" s="183"/>
      <c r="F29" s="15">
        <f>'P&amp;L'!E27</f>
        <v>21.527000000000001</v>
      </c>
      <c r="G29" s="15">
        <v>23313</v>
      </c>
      <c r="H29" s="15">
        <f t="shared" si="1"/>
        <v>-23291.473000000002</v>
      </c>
      <c r="J29" s="181">
        <f>J27*16%</f>
        <v>14158.56</v>
      </c>
    </row>
    <row r="30" spans="1:10">
      <c r="A30" s="55" t="s">
        <v>149</v>
      </c>
      <c r="B30" s="55"/>
      <c r="C30" s="55"/>
      <c r="D30" s="25"/>
      <c r="E30" s="183"/>
      <c r="F30" s="15">
        <f>'P&amp;L'!E29</f>
        <v>7.4779999999999998</v>
      </c>
      <c r="G30" s="15">
        <v>2399</v>
      </c>
      <c r="H30" s="15">
        <f t="shared" si="1"/>
        <v>-2391.5219999999999</v>
      </c>
      <c r="J30" s="181">
        <f>ROUND(J29,0)</f>
        <v>14159</v>
      </c>
    </row>
    <row r="31" spans="1:10">
      <c r="A31" s="55" t="s">
        <v>146</v>
      </c>
      <c r="B31" s="55"/>
      <c r="C31" s="55"/>
      <c r="D31" s="25"/>
      <c r="E31" s="183"/>
      <c r="F31" s="15">
        <f>'P&amp;L'!E30</f>
        <v>0</v>
      </c>
      <c r="G31" s="15">
        <v>0</v>
      </c>
      <c r="H31" s="15">
        <f t="shared" si="1"/>
        <v>0</v>
      </c>
    </row>
    <row r="32" spans="1:10">
      <c r="A32" s="55" t="s">
        <v>156</v>
      </c>
      <c r="B32" s="34"/>
      <c r="C32" s="34"/>
      <c r="D32" s="25"/>
      <c r="E32" s="189"/>
      <c r="F32" s="15">
        <f>'P&amp;L'!E31</f>
        <v>7.5000000000000011E-2</v>
      </c>
      <c r="G32" s="15">
        <v>772</v>
      </c>
      <c r="H32" s="15">
        <f t="shared" si="1"/>
        <v>-771.92499999999995</v>
      </c>
      <c r="J32" s="181">
        <f>J27+J30</f>
        <v>102650</v>
      </c>
    </row>
    <row r="33" spans="1:10">
      <c r="A33" s="55" t="s">
        <v>81</v>
      </c>
      <c r="B33" s="34"/>
      <c r="C33" s="34"/>
      <c r="D33" s="25"/>
      <c r="E33" s="189"/>
      <c r="F33" s="15">
        <f>'P&amp;L'!E32</f>
        <v>20.700000000000003</v>
      </c>
      <c r="G33" s="15">
        <v>35711</v>
      </c>
      <c r="H33" s="15">
        <f t="shared" si="1"/>
        <v>-35690.300000000003</v>
      </c>
    </row>
    <row r="34" spans="1:10">
      <c r="A34" s="55" t="s">
        <v>139</v>
      </c>
      <c r="B34" s="34"/>
      <c r="C34" s="34"/>
      <c r="D34" s="25"/>
      <c r="E34" s="76"/>
      <c r="F34" s="15">
        <v>0</v>
      </c>
      <c r="G34" s="15">
        <v>0</v>
      </c>
      <c r="H34" s="15">
        <f t="shared" si="1"/>
        <v>0</v>
      </c>
    </row>
    <row r="35" spans="1:10">
      <c r="A35" s="55" t="s">
        <v>105</v>
      </c>
      <c r="B35" s="34"/>
      <c r="C35" s="25"/>
      <c r="D35" s="25"/>
      <c r="E35" s="189"/>
      <c r="F35" s="15">
        <v>0</v>
      </c>
      <c r="G35" s="15">
        <v>0</v>
      </c>
      <c r="H35" s="15">
        <f t="shared" si="1"/>
        <v>0</v>
      </c>
    </row>
    <row r="36" spans="1:10">
      <c r="A36" s="25" t="s">
        <v>109</v>
      </c>
      <c r="B36" s="25"/>
      <c r="C36" s="25"/>
      <c r="D36" s="25"/>
      <c r="E36" s="183"/>
      <c r="F36" s="15">
        <f>'P&amp;L'!E35</f>
        <v>25</v>
      </c>
      <c r="G36" s="15">
        <v>500</v>
      </c>
      <c r="H36" s="15">
        <f t="shared" si="1"/>
        <v>-475</v>
      </c>
    </row>
    <row r="37" spans="1:10" s="293" customFormat="1">
      <c r="A37" s="226" t="s">
        <v>23</v>
      </c>
      <c r="B37" s="307"/>
      <c r="C37" s="307"/>
      <c r="D37" s="4"/>
      <c r="E37" s="308"/>
      <c r="F37" s="17">
        <f>'P&amp;L'!E36</f>
        <v>0</v>
      </c>
      <c r="G37" s="17">
        <v>621</v>
      </c>
      <c r="H37" s="17">
        <f t="shared" si="1"/>
        <v>-621</v>
      </c>
      <c r="I37" s="294"/>
    </row>
    <row r="38" spans="1:10">
      <c r="A38" s="9"/>
      <c r="B38" s="4"/>
      <c r="C38" s="4"/>
      <c r="D38" s="4"/>
      <c r="E38" s="304"/>
      <c r="F38" s="13">
        <f>SUM(F25:F37)</f>
        <v>1372.1540000000002</v>
      </c>
      <c r="G38" s="13">
        <f>SUM(G25:G37)</f>
        <v>412044</v>
      </c>
      <c r="H38" s="13">
        <f>ROUNDUP(SUM(H25:H37),0)</f>
        <v>-410672</v>
      </c>
      <c r="I38" s="295">
        <v>569467.73615999997</v>
      </c>
      <c r="J38" s="296">
        <f>I38-H38</f>
        <v>980139.73615999997</v>
      </c>
    </row>
    <row r="39" spans="1:10">
      <c r="A39" s="25"/>
      <c r="B39" s="25"/>
      <c r="C39" s="25"/>
      <c r="D39" s="25"/>
      <c r="E39" s="183"/>
      <c r="F39" s="13"/>
      <c r="G39" s="13"/>
      <c r="H39" s="13"/>
    </row>
    <row r="40" spans="1:10">
      <c r="A40" s="187" t="s">
        <v>38</v>
      </c>
      <c r="B40" s="187"/>
      <c r="C40" s="187"/>
      <c r="D40" s="25"/>
      <c r="E40" s="183"/>
      <c r="F40" s="97">
        <f>F22-F38</f>
        <v>1968.6219999999996</v>
      </c>
      <c r="G40" s="97">
        <f>G22-G38</f>
        <v>2987694</v>
      </c>
      <c r="H40" s="97">
        <f>H22-H38</f>
        <v>-2985725.2239999995</v>
      </c>
    </row>
    <row r="41" spans="1:10">
      <c r="A41" s="187"/>
      <c r="B41" s="187"/>
      <c r="C41" s="187"/>
      <c r="D41" s="25"/>
      <c r="E41" s="183"/>
      <c r="F41" s="13"/>
      <c r="G41" s="13"/>
      <c r="H41" s="13"/>
    </row>
    <row r="42" spans="1:10">
      <c r="A42" s="55" t="s">
        <v>4</v>
      </c>
      <c r="B42" s="55"/>
      <c r="C42" s="55"/>
      <c r="D42" s="25"/>
      <c r="E42" s="16"/>
      <c r="F42" s="6"/>
      <c r="G42" s="6"/>
      <c r="H42" s="6"/>
    </row>
    <row r="43" spans="1:10">
      <c r="A43" s="55" t="s">
        <v>39</v>
      </c>
      <c r="B43" s="55"/>
      <c r="C43" s="55"/>
      <c r="D43" s="25"/>
      <c r="E43" s="16"/>
      <c r="F43" s="6" t="e">
        <f>'P&amp;L'!#REF!</f>
        <v>#REF!</v>
      </c>
      <c r="G43" s="190">
        <v>-124398</v>
      </c>
      <c r="H43" s="6" t="e">
        <f>F43-G43</f>
        <v>#REF!</v>
      </c>
      <c r="J43" s="181">
        <v>431224</v>
      </c>
    </row>
    <row r="44" spans="1:10">
      <c r="A44" s="55"/>
      <c r="B44" s="55"/>
      <c r="C44" s="55"/>
      <c r="D44" s="25"/>
      <c r="E44" s="16"/>
      <c r="F44" s="6"/>
      <c r="G44" s="190"/>
      <c r="H44" s="6"/>
    </row>
    <row r="45" spans="1:10" s="293" customFormat="1">
      <c r="A45" s="340" t="s">
        <v>110</v>
      </c>
      <c r="B45" s="340"/>
      <c r="C45" s="340"/>
      <c r="D45" s="4"/>
      <c r="E45" s="339"/>
      <c r="F45" s="6" t="e">
        <f>'P&amp;L'!#REF!</f>
        <v>#REF!</v>
      </c>
      <c r="G45" s="190">
        <v>-57280</v>
      </c>
      <c r="H45" s="6" t="e">
        <f>F45-G45</f>
        <v>#REF!</v>
      </c>
    </row>
    <row r="46" spans="1:10">
      <c r="A46" s="25"/>
      <c r="B46" s="187"/>
      <c r="C46" s="187"/>
      <c r="D46" s="25"/>
      <c r="E46" s="183"/>
      <c r="F46" s="13"/>
      <c r="G46" s="13"/>
      <c r="H46" s="13"/>
      <c r="J46" s="181">
        <v>435272</v>
      </c>
    </row>
    <row r="47" spans="1:10">
      <c r="A47" s="187" t="s">
        <v>40</v>
      </c>
      <c r="B47" s="187"/>
      <c r="C47" s="187"/>
      <c r="D47" s="25"/>
      <c r="E47" s="183"/>
      <c r="F47" s="97" t="e">
        <f>F40+F43+F45</f>
        <v>#REF!</v>
      </c>
      <c r="G47" s="97">
        <f>G40+G43+G45</f>
        <v>2806016</v>
      </c>
      <c r="H47" s="97" t="e">
        <f>H40+H43+H45</f>
        <v>#REF!</v>
      </c>
      <c r="I47" s="295">
        <v>380323.84284</v>
      </c>
      <c r="J47" s="181">
        <f>J46-J43</f>
        <v>4048</v>
      </c>
    </row>
    <row r="48" spans="1:10">
      <c r="A48" s="187"/>
      <c r="B48" s="187"/>
      <c r="C48" s="187"/>
      <c r="D48" s="25"/>
      <c r="E48" s="183"/>
      <c r="F48" s="13"/>
      <c r="G48" s="13"/>
      <c r="H48" s="13"/>
      <c r="I48" s="296" t="e">
        <f>H47-I47</f>
        <v>#REF!</v>
      </c>
    </row>
    <row r="49" spans="1:8">
      <c r="A49" s="25" t="s">
        <v>95</v>
      </c>
      <c r="B49" s="187"/>
      <c r="C49" s="187"/>
      <c r="D49" s="25"/>
      <c r="E49" s="183"/>
      <c r="F49" s="13">
        <v>0</v>
      </c>
      <c r="G49" s="13">
        <v>0</v>
      </c>
      <c r="H49" s="13"/>
    </row>
    <row r="50" spans="1:8">
      <c r="A50" s="25"/>
      <c r="B50" s="187"/>
      <c r="C50" s="187"/>
      <c r="D50" s="25"/>
      <c r="E50" s="183"/>
      <c r="F50" s="13"/>
      <c r="G50" s="13"/>
      <c r="H50" s="13"/>
    </row>
    <row r="51" spans="1:8" ht="12.75" thickBot="1">
      <c r="A51" s="187" t="s">
        <v>41</v>
      </c>
      <c r="B51" s="187"/>
      <c r="C51" s="187"/>
      <c r="D51" s="55"/>
      <c r="E51" s="191"/>
      <c r="F51" s="192" t="e">
        <f>F47-F49</f>
        <v>#REF!</v>
      </c>
      <c r="G51" s="192">
        <f>G47-G49</f>
        <v>2806016</v>
      </c>
      <c r="H51" s="192" t="e">
        <f>H47-H49</f>
        <v>#REF!</v>
      </c>
    </row>
    <row r="52" spans="1:8" ht="12.75" thickTop="1">
      <c r="A52" s="193"/>
      <c r="B52" s="194"/>
      <c r="C52" s="194"/>
      <c r="D52" s="195"/>
      <c r="E52" s="191"/>
      <c r="F52" s="196"/>
      <c r="G52" s="196"/>
      <c r="H52" s="196"/>
    </row>
    <row r="55" spans="1:8">
      <c r="F55" s="296" t="e">
        <f>F51-'P&amp;L'!E43</f>
        <v>#REF!</v>
      </c>
    </row>
  </sheetData>
  <customSheetViews>
    <customSheetView guid="{84FBBE83-FF6F-4C76-A58E-D04643F715A5}" scale="110" showPageBreaks="1" printArea="1" view="pageBreakPreview" topLeftCell="A34">
      <selection activeCell="K26" sqref="K26"/>
      <colBreaks count="1" manualBreakCount="1">
        <brk id="8" max="1048575" man="1"/>
      </colBreaks>
      <pageMargins left="0.75" right="0.75" top="1" bottom="1" header="0.5" footer="0.5"/>
      <pageSetup paperSize="9" scale="82" orientation="portrait" r:id="rId1"/>
      <headerFooter alignWithMargins="0"/>
    </customSheetView>
  </customSheetViews>
  <mergeCells count="1">
    <mergeCell ref="F7:H7"/>
  </mergeCells>
  <phoneticPr fontId="24" type="noConversion"/>
  <pageMargins left="0.75" right="0.75" top="1" bottom="1" header="0.5" footer="0.5"/>
  <pageSetup paperSize="9" scale="82" orientation="portrait" r:id="rId2"/>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1"/>
  </sheetPr>
  <dimension ref="A1:IP36"/>
  <sheetViews>
    <sheetView view="pageBreakPreview" topLeftCell="A16" zoomScaleSheetLayoutView="100" workbookViewId="0">
      <selection activeCell="A90" sqref="A90"/>
    </sheetView>
  </sheetViews>
  <sheetFormatPr defaultRowHeight="12"/>
  <cols>
    <col min="1" max="1" width="5.125" style="6" customWidth="1"/>
    <col min="2" max="2" width="3.625" style="6" customWidth="1"/>
    <col min="3" max="3" width="28.125" style="6" customWidth="1"/>
    <col min="4" max="4" width="4.375" style="6" customWidth="1"/>
    <col min="5" max="5" width="0.375" style="6" customWidth="1"/>
    <col min="6" max="6" width="9.875" style="6" customWidth="1"/>
    <col min="7" max="7" width="0.75" style="6" customWidth="1"/>
    <col min="8" max="8" width="9" style="6"/>
    <col min="9" max="9" width="0.875" style="6" customWidth="1"/>
    <col min="10" max="10" width="9" style="6"/>
    <col min="11" max="11" width="0.875" style="6" customWidth="1"/>
    <col min="12" max="12" width="9.375" style="6" customWidth="1"/>
    <col min="13" max="13" width="1.125" style="6" customWidth="1"/>
    <col min="14" max="16384" width="9" style="6"/>
  </cols>
  <sheetData>
    <row r="1" spans="1:12">
      <c r="A1" s="2" t="s">
        <v>267</v>
      </c>
      <c r="B1" s="2"/>
      <c r="C1" s="2"/>
      <c r="D1" s="2"/>
      <c r="E1" s="2"/>
      <c r="F1" s="2"/>
      <c r="G1" s="2"/>
    </row>
    <row r="2" spans="1:12">
      <c r="A2" s="461" t="s">
        <v>252</v>
      </c>
      <c r="B2" s="52"/>
      <c r="C2" s="52"/>
      <c r="D2" s="52"/>
      <c r="E2" s="52"/>
      <c r="F2" s="52"/>
      <c r="G2" s="18"/>
    </row>
    <row r="3" spans="1:12">
      <c r="A3" s="89" t="s">
        <v>318</v>
      </c>
      <c r="B3" s="52"/>
      <c r="C3" s="52"/>
      <c r="D3" s="52"/>
      <c r="E3" s="52"/>
      <c r="F3" s="52"/>
      <c r="G3" s="18"/>
    </row>
    <row r="4" spans="1:12" ht="36">
      <c r="A4" s="89"/>
      <c r="B4" s="52"/>
      <c r="C4" s="52"/>
      <c r="D4" s="52"/>
      <c r="E4" s="4"/>
      <c r="F4" s="409" t="s">
        <v>323</v>
      </c>
      <c r="G4" s="4"/>
      <c r="H4" s="409" t="s">
        <v>324</v>
      </c>
      <c r="I4" s="4"/>
      <c r="J4" s="535" t="s">
        <v>325</v>
      </c>
      <c r="K4" s="538"/>
      <c r="L4" s="535" t="s">
        <v>215</v>
      </c>
    </row>
    <row r="5" spans="1:12">
      <c r="A5" s="89"/>
      <c r="B5" s="52"/>
      <c r="C5" s="52"/>
      <c r="D5" s="52"/>
      <c r="E5" s="283"/>
      <c r="F5" s="710" t="s">
        <v>326</v>
      </c>
      <c r="G5" s="711"/>
      <c r="H5" s="711"/>
      <c r="I5" s="711"/>
      <c r="J5" s="711"/>
      <c r="K5" s="711"/>
      <c r="L5" s="712"/>
    </row>
    <row r="6" spans="1:12" s="135" customFormat="1" ht="11.25">
      <c r="D6" s="134" t="s">
        <v>147</v>
      </c>
      <c r="E6" s="495"/>
      <c r="F6" s="495"/>
      <c r="G6" s="137"/>
    </row>
    <row r="7" spans="1:12" s="135" customFormat="1" ht="11.25">
      <c r="D7" s="134"/>
      <c r="E7" s="496"/>
      <c r="F7" s="496"/>
      <c r="G7" s="431"/>
    </row>
    <row r="8" spans="1:12" s="139" customFormat="1" ht="11.25"/>
    <row r="9" spans="1:12" s="139" customFormat="1" ht="11.25">
      <c r="A9" s="146" t="s">
        <v>321</v>
      </c>
      <c r="D9" s="143"/>
      <c r="E9" s="142"/>
      <c r="F9" s="142">
        <v>760.02700000000004</v>
      </c>
      <c r="G9" s="142"/>
      <c r="H9" s="139">
        <v>510.42500000000007</v>
      </c>
      <c r="J9" s="139">
        <v>476.25699999999995</v>
      </c>
      <c r="L9" s="139">
        <v>1746.7090000000003</v>
      </c>
    </row>
    <row r="10" spans="1:12" s="139" customFormat="1" ht="11.25">
      <c r="A10" s="146"/>
    </row>
    <row r="11" spans="1:12" s="139" customFormat="1" ht="11.25">
      <c r="A11" s="151" t="s">
        <v>126</v>
      </c>
    </row>
    <row r="12" spans="1:12" s="139" customFormat="1" ht="11.25">
      <c r="A12" s="146"/>
    </row>
    <row r="13" spans="1:12" s="139" customFormat="1" ht="11.25">
      <c r="A13" s="146"/>
    </row>
    <row r="14" spans="1:12" s="139" customFormat="1" ht="11.25">
      <c r="A14" s="146" t="s">
        <v>456</v>
      </c>
    </row>
    <row r="15" spans="1:12" s="139" customFormat="1" ht="11.25">
      <c r="A15" s="284" t="s">
        <v>457</v>
      </c>
      <c r="D15" s="143">
        <v>3.2</v>
      </c>
      <c r="F15" s="139">
        <v>-7354.81</v>
      </c>
      <c r="H15" s="139">
        <v>0</v>
      </c>
      <c r="J15" s="139">
        <v>0</v>
      </c>
      <c r="L15" s="139">
        <v>-7354.81</v>
      </c>
    </row>
    <row r="16" spans="1:12" s="139" customFormat="1" ht="11.25">
      <c r="A16" s="146"/>
    </row>
    <row r="17" spans="1:250" s="139" customFormat="1" thickBot="1">
      <c r="A17" s="151" t="s">
        <v>327</v>
      </c>
      <c r="F17" s="537">
        <v>-6594.7830000000004</v>
      </c>
      <c r="G17" s="145"/>
      <c r="H17" s="537">
        <v>510.42500000000007</v>
      </c>
      <c r="I17" s="145"/>
      <c r="J17" s="537">
        <v>476.25699999999995</v>
      </c>
      <c r="K17" s="145"/>
      <c r="L17" s="537">
        <v>-5608.1010000000006</v>
      </c>
    </row>
    <row r="18" spans="1:250" s="139" customFormat="1" thickTop="1">
      <c r="A18" s="151" t="s">
        <v>216</v>
      </c>
      <c r="F18" s="142"/>
    </row>
    <row r="19" spans="1:250">
      <c r="A19" s="53"/>
      <c r="B19" s="39"/>
      <c r="C19" s="39"/>
      <c r="D19" s="39"/>
      <c r="E19" s="39"/>
      <c r="F19" s="39"/>
    </row>
    <row r="20" spans="1:250" s="4" customFormat="1">
      <c r="A20" s="345" t="s">
        <v>480</v>
      </c>
      <c r="B20" s="281"/>
      <c r="C20" s="281"/>
      <c r="D20" s="281"/>
      <c r="E20" s="281"/>
      <c r="F20" s="281"/>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row>
    <row r="21" spans="1:250" s="4" customFormat="1">
      <c r="A21" s="279"/>
      <c r="B21" s="279"/>
      <c r="C21" s="279"/>
      <c r="D21" s="279"/>
      <c r="E21" s="279"/>
      <c r="F21" s="279"/>
      <c r="G21" s="13"/>
    </row>
    <row r="22" spans="1:250" s="4" customFormat="1" ht="12" customHeight="1">
      <c r="A22" s="180"/>
      <c r="B22" s="180"/>
      <c r="C22" s="180"/>
      <c r="D22" s="180"/>
      <c r="E22" s="180"/>
      <c r="F22" s="180"/>
      <c r="G22" s="13"/>
    </row>
    <row r="23" spans="1:250" s="4" customFormat="1" ht="12" customHeight="1">
      <c r="A23" s="180"/>
      <c r="B23" s="180"/>
      <c r="C23" s="180"/>
      <c r="D23" s="180"/>
      <c r="E23" s="180"/>
      <c r="F23" s="180"/>
      <c r="G23" s="13"/>
    </row>
    <row r="24" spans="1:250" s="4" customFormat="1" ht="12" customHeight="1">
      <c r="A24" s="180"/>
      <c r="B24" s="180"/>
      <c r="C24" s="180"/>
      <c r="D24" s="180"/>
      <c r="E24" s="180"/>
      <c r="F24" s="180"/>
      <c r="G24" s="13"/>
    </row>
    <row r="25" spans="1:250" s="4" customFormat="1" ht="12" customHeight="1">
      <c r="E25" s="13"/>
      <c r="G25" s="13"/>
    </row>
    <row r="26" spans="1:250" s="4" customFormat="1" ht="12" customHeight="1">
      <c r="A26" s="713" t="s">
        <v>397</v>
      </c>
      <c r="B26" s="713"/>
      <c r="C26" s="713"/>
      <c r="D26" s="713"/>
      <c r="E26" s="713"/>
      <c r="F26" s="713"/>
      <c r="G26" s="713"/>
      <c r="H26" s="713"/>
      <c r="I26" s="713"/>
      <c r="J26" s="713"/>
      <c r="K26" s="713"/>
      <c r="L26" s="713"/>
      <c r="M26" s="419"/>
      <c r="N26" s="419"/>
      <c r="O26" s="419"/>
      <c r="P26" s="419"/>
      <c r="Q26" s="419"/>
      <c r="R26" s="419"/>
      <c r="S26" s="419"/>
    </row>
    <row r="27" spans="1:250" s="4" customFormat="1">
      <c r="A27" s="713" t="s">
        <v>398</v>
      </c>
      <c r="B27" s="713"/>
      <c r="C27" s="713"/>
      <c r="D27" s="713"/>
      <c r="E27" s="713"/>
      <c r="F27" s="713"/>
      <c r="G27" s="713"/>
      <c r="H27" s="713"/>
      <c r="I27" s="713"/>
      <c r="J27" s="713"/>
      <c r="K27" s="713"/>
      <c r="L27" s="713"/>
      <c r="M27" s="419"/>
      <c r="N27" s="419"/>
      <c r="O27" s="419"/>
      <c r="P27" s="419"/>
      <c r="Q27" s="419"/>
      <c r="R27" s="419"/>
      <c r="S27" s="419"/>
    </row>
    <row r="28" spans="1:250" s="4" customFormat="1">
      <c r="A28" s="26"/>
      <c r="B28" s="26"/>
      <c r="C28" s="26"/>
      <c r="D28" s="3"/>
      <c r="E28" s="3"/>
      <c r="F28" s="3"/>
      <c r="G28" s="3"/>
      <c r="H28" s="3"/>
      <c r="I28" s="3"/>
      <c r="J28" s="3"/>
      <c r="K28" s="5"/>
      <c r="L28" s="5"/>
      <c r="M28" s="5"/>
      <c r="N28" s="25"/>
    </row>
    <row r="29" spans="1:250" s="4" customFormat="1">
      <c r="D29" s="432"/>
      <c r="E29" s="432"/>
      <c r="F29" s="432"/>
      <c r="G29" s="432"/>
      <c r="H29" s="432"/>
      <c r="I29" s="432"/>
      <c r="J29" s="432"/>
      <c r="K29" s="14"/>
      <c r="L29" s="14"/>
      <c r="M29" s="14"/>
      <c r="N29" s="25"/>
    </row>
    <row r="30" spans="1:250" s="4" customFormat="1">
      <c r="L30" s="25"/>
      <c r="M30" s="25"/>
      <c r="N30" s="25"/>
    </row>
    <row r="31" spans="1:250" s="29" customFormat="1">
      <c r="A31" s="66" t="s">
        <v>484</v>
      </c>
      <c r="M31" s="25"/>
    </row>
    <row r="32" spans="1:250" s="4" customFormat="1">
      <c r="A32" s="66" t="s">
        <v>97</v>
      </c>
      <c r="B32" s="27"/>
      <c r="C32" s="27"/>
      <c r="D32" s="27"/>
      <c r="E32" s="28"/>
      <c r="F32" s="27"/>
      <c r="G32" s="27"/>
      <c r="H32" s="27"/>
      <c r="I32" s="27"/>
      <c r="J32" s="27"/>
      <c r="L32" s="25"/>
    </row>
    <row r="33" spans="4:250" s="4" customFormat="1">
      <c r="E33" s="6"/>
    </row>
    <row r="34" spans="4:250" s="4" customFormat="1">
      <c r="E34" s="6"/>
    </row>
    <row r="35" spans="4:250" s="4" customFormat="1">
      <c r="D35" s="5"/>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row>
    <row r="36" spans="4:250" s="4" customFormat="1">
      <c r="D36" s="5"/>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row>
  </sheetData>
  <customSheetViews>
    <customSheetView guid="{84FBBE83-FF6F-4C76-A58E-D04643F715A5}" showPageBreaks="1" printArea="1" view="pageBreakPreview">
      <selection activeCell="K26" sqref="K26"/>
      <pageMargins left="0.75" right="0.5" top="0.5" bottom="0.25" header="0" footer="0"/>
      <printOptions horizontalCentered="1"/>
      <pageSetup paperSize="9" orientation="portrait" r:id="rId1"/>
      <headerFooter alignWithMargins="0">
        <oddFooter>&amp;C3 of 11</oddFooter>
      </headerFooter>
    </customSheetView>
  </customSheetViews>
  <mergeCells count="3">
    <mergeCell ref="F5:L5"/>
    <mergeCell ref="A26:L26"/>
    <mergeCell ref="A27:L27"/>
  </mergeCells>
  <phoneticPr fontId="7" type="noConversion"/>
  <printOptions horizontalCentered="1"/>
  <pageMargins left="0.75" right="0.5" top="0.5" bottom="0.25" header="0" footer="0"/>
  <pageSetup paperSize="9" scale="83" orientation="portrait" r:id="rId2"/>
  <headerFooter alignWithMargins="0">
    <oddFooter>&amp;C3 of 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10" zoomScaleSheetLayoutView="110" workbookViewId="0">
      <selection activeCell="K26" sqref="K26"/>
    </sheetView>
  </sheetViews>
  <sheetFormatPr defaultRowHeight="15.75"/>
  <cols>
    <col min="1" max="1" width="5.125" customWidth="1"/>
    <col min="2" max="2" width="3.625" style="6" customWidth="1"/>
    <col min="3" max="3" width="24.25" style="6" customWidth="1"/>
    <col min="4" max="4" width="4.375" style="6" customWidth="1"/>
    <col min="5" max="5" width="14.75" customWidth="1"/>
    <col min="6" max="6" width="12.625" customWidth="1"/>
    <col min="7" max="7" width="10.75" bestFit="1" customWidth="1"/>
  </cols>
  <sheetData>
    <row r="1" spans="1:7">
      <c r="A1" s="2" t="str">
        <f>BS!$A$1</f>
        <v>NIT ISLAMIC PENSION FUND</v>
      </c>
      <c r="B1" s="2"/>
      <c r="C1" s="2"/>
      <c r="D1" s="2"/>
      <c r="G1" s="358" t="s">
        <v>207</v>
      </c>
    </row>
    <row r="2" spans="1:7">
      <c r="A2" s="43" t="s">
        <v>129</v>
      </c>
      <c r="B2" s="52"/>
      <c r="C2" s="52"/>
      <c r="D2" s="52"/>
    </row>
    <row r="3" spans="1:7">
      <c r="A3" s="89" t="str">
        <f>'P&amp;L'!$A$3</f>
        <v>FOR THE QUARTER ENDED SEPTEMBER 30, 2015 (Unaudited)</v>
      </c>
      <c r="B3" s="52"/>
      <c r="C3" s="52"/>
      <c r="D3" s="52"/>
    </row>
    <row r="4" spans="1:7">
      <c r="A4" s="89" t="s">
        <v>195</v>
      </c>
      <c r="B4" s="52"/>
      <c r="C4" s="52"/>
      <c r="D4" s="52"/>
    </row>
    <row r="5" spans="1:7">
      <c r="B5" s="52"/>
      <c r="C5" s="52"/>
      <c r="D5" s="52"/>
    </row>
    <row r="6" spans="1:7" ht="42" customHeight="1">
      <c r="B6" s="52"/>
      <c r="C6" s="52"/>
      <c r="D6" s="52"/>
      <c r="E6" s="243" t="s">
        <v>206</v>
      </c>
      <c r="F6" s="243" t="s">
        <v>208</v>
      </c>
      <c r="G6" s="243" t="s">
        <v>36</v>
      </c>
    </row>
    <row r="7" spans="1:7">
      <c r="A7" s="146" t="s">
        <v>190</v>
      </c>
      <c r="B7" s="285"/>
      <c r="C7" s="285"/>
      <c r="D7" s="285"/>
      <c r="E7" s="138" t="e">
        <f>'Other Comp Income'!#REF!</f>
        <v>#REF!</v>
      </c>
      <c r="F7" s="138">
        <v>-964290</v>
      </c>
      <c r="G7" s="138" t="e">
        <f>'Other Comp Income'!#REF!</f>
        <v>#REF!</v>
      </c>
    </row>
    <row r="8" spans="1:7" s="139" customFormat="1" ht="11.25">
      <c r="A8" s="146"/>
      <c r="G8" s="138"/>
    </row>
    <row r="9" spans="1:7">
      <c r="A9" s="151" t="s">
        <v>126</v>
      </c>
      <c r="B9" s="135"/>
      <c r="C9" s="135"/>
      <c r="D9" s="136"/>
      <c r="E9" s="138"/>
      <c r="G9" s="138"/>
    </row>
    <row r="10" spans="1:7" s="139" customFormat="1" ht="11.25">
      <c r="A10" s="146"/>
      <c r="G10" s="138"/>
    </row>
    <row r="11" spans="1:7">
      <c r="A11" s="146" t="s">
        <v>192</v>
      </c>
      <c r="B11" s="139"/>
      <c r="C11" s="139"/>
      <c r="D11" s="139"/>
      <c r="E11" s="138"/>
      <c r="G11" s="138"/>
    </row>
    <row r="12" spans="1:7">
      <c r="A12" s="153" t="s">
        <v>19</v>
      </c>
      <c r="B12" s="139"/>
      <c r="C12" s="139"/>
      <c r="D12" s="143"/>
      <c r="E12" s="138"/>
      <c r="G12" s="138"/>
    </row>
    <row r="13" spans="1:7">
      <c r="A13" s="284" t="s">
        <v>20</v>
      </c>
      <c r="B13" s="139"/>
      <c r="C13" s="139"/>
      <c r="D13" s="139"/>
      <c r="E13" s="138" t="e">
        <f>'Other Comp Income'!#REF!</f>
        <v>#REF!</v>
      </c>
      <c r="F13" s="138">
        <v>6472300</v>
      </c>
      <c r="G13" s="138" t="e">
        <f>E13-F13</f>
        <v>#REF!</v>
      </c>
    </row>
    <row r="14" spans="1:7" s="139" customFormat="1" ht="11.25">
      <c r="A14" s="146"/>
      <c r="G14" s="138"/>
    </row>
    <row r="15" spans="1:7" ht="16.5" thickBot="1">
      <c r="A15" s="151" t="s">
        <v>196</v>
      </c>
      <c r="B15" s="139"/>
      <c r="C15" s="139"/>
      <c r="D15" s="139"/>
      <c r="E15" s="298" t="e">
        <f>E7+E13</f>
        <v>#REF!</v>
      </c>
      <c r="F15" s="298">
        <f>F7+F13</f>
        <v>5508010</v>
      </c>
      <c r="G15" s="298" t="e">
        <f>SUM(G7:G14)</f>
        <v>#REF!</v>
      </c>
    </row>
    <row r="16" spans="1:7" ht="16.5" thickTop="1">
      <c r="A16" s="151"/>
      <c r="B16" s="139"/>
      <c r="C16" s="139"/>
      <c r="D16" s="139"/>
    </row>
    <row r="17" spans="2:4">
      <c r="B17" s="139"/>
      <c r="C17" s="139"/>
      <c r="D17" s="139"/>
    </row>
    <row r="18" spans="2:4">
      <c r="B18" s="139"/>
      <c r="C18" s="139"/>
      <c r="D18" s="143"/>
    </row>
    <row r="19" spans="2:4">
      <c r="B19" s="139"/>
      <c r="C19" s="139"/>
      <c r="D19" s="139"/>
    </row>
    <row r="20" spans="2:4">
      <c r="B20" s="139"/>
      <c r="C20" s="139"/>
      <c r="D20" s="139"/>
    </row>
    <row r="21" spans="2:4">
      <c r="B21" s="139"/>
      <c r="C21" s="139"/>
      <c r="D21" s="139"/>
    </row>
    <row r="22" spans="2:4">
      <c r="B22" s="39"/>
      <c r="C22" s="39"/>
      <c r="D22" s="39"/>
    </row>
    <row r="23" spans="2:4">
      <c r="B23" s="281"/>
      <c r="C23" s="281"/>
      <c r="D23" s="281"/>
    </row>
    <row r="24" spans="2:4">
      <c r="B24" s="279"/>
      <c r="C24" s="279"/>
      <c r="D24" s="279"/>
    </row>
    <row r="25" spans="2:4">
      <c r="B25" s="180"/>
      <c r="C25" s="180"/>
      <c r="D25" s="180"/>
    </row>
    <row r="26" spans="2:4">
      <c r="B26" s="180"/>
      <c r="C26" s="180"/>
      <c r="D26" s="180"/>
    </row>
    <row r="27" spans="2:4">
      <c r="B27" s="180"/>
      <c r="C27" s="180"/>
      <c r="D27" s="180"/>
    </row>
    <row r="28" spans="2:4">
      <c r="B28" s="4"/>
      <c r="C28" s="4"/>
      <c r="D28" s="4"/>
    </row>
    <row r="29" spans="2:4">
      <c r="B29" s="26"/>
      <c r="C29" s="3"/>
      <c r="D29" s="3"/>
    </row>
    <row r="30" spans="2:4">
      <c r="B30" s="26"/>
      <c r="C30" s="3"/>
      <c r="D30" s="3"/>
    </row>
    <row r="31" spans="2:4">
      <c r="B31" s="26"/>
      <c r="C31" s="26"/>
      <c r="D31" s="3"/>
    </row>
    <row r="32" spans="2:4">
      <c r="B32" s="4"/>
      <c r="C32" s="4"/>
      <c r="D32" s="7"/>
    </row>
    <row r="33" spans="2:4">
      <c r="B33" s="4"/>
      <c r="C33" s="4"/>
      <c r="D33" s="4"/>
    </row>
    <row r="34" spans="2:4">
      <c r="B34" s="290"/>
      <c r="C34" s="290"/>
      <c r="D34" s="290"/>
    </row>
    <row r="35" spans="2:4">
      <c r="B35" s="4"/>
      <c r="C35" s="4"/>
      <c r="D35" s="4"/>
    </row>
    <row r="36" spans="2:4">
      <c r="B36" s="4"/>
      <c r="C36" s="4"/>
      <c r="D36" s="4"/>
    </row>
    <row r="37" spans="2:4">
      <c r="B37" s="4"/>
      <c r="C37" s="4"/>
      <c r="D37" s="4"/>
    </row>
    <row r="38" spans="2:4">
      <c r="B38" s="4"/>
      <c r="C38" s="4"/>
      <c r="D38" s="4"/>
    </row>
    <row r="39" spans="2:4">
      <c r="B39" s="26"/>
      <c r="C39" s="26"/>
      <c r="D39" s="26"/>
    </row>
    <row r="40" spans="2:4">
      <c r="B40" s="26"/>
      <c r="C40" s="26"/>
      <c r="D40" s="26"/>
    </row>
    <row r="41" spans="2:4">
      <c r="B41" s="4"/>
      <c r="C41" s="4"/>
      <c r="D41" s="5"/>
    </row>
    <row r="42" spans="2:4">
      <c r="B42" s="4"/>
      <c r="C42" s="4"/>
      <c r="D42" s="5"/>
    </row>
  </sheetData>
  <customSheetViews>
    <customSheetView guid="{84FBBE83-FF6F-4C76-A58E-D04643F715A5}" scale="110" showPageBreaks="1" view="pageBreakPreview">
      <selection activeCell="F21" sqref="F21"/>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B51" sqref="B51:H53"/>
    </sheetView>
  </sheetViews>
  <sheetFormatPr defaultRowHeight="15.75"/>
  <cols>
    <col min="1" max="1" width="5.125" style="6" customWidth="1"/>
    <col min="2" max="2" width="3.625" style="6" customWidth="1"/>
    <col min="3" max="3" width="24.25" style="6" customWidth="1"/>
    <col min="4" max="4" width="4.375" style="6" customWidth="1"/>
    <col min="5" max="5" width="13.125" style="18" customWidth="1"/>
    <col min="6" max="6" width="13.875" style="6" customWidth="1"/>
  </cols>
  <sheetData>
    <row r="1" spans="1:11">
      <c r="A1" s="2" t="str">
        <f>BS!$A$1</f>
        <v>NIT ISLAMIC PENSION FUND</v>
      </c>
      <c r="B1" s="2"/>
      <c r="C1" s="2"/>
      <c r="D1" s="2"/>
      <c r="E1" s="2"/>
      <c r="F1" s="2"/>
      <c r="G1" s="358" t="s">
        <v>207</v>
      </c>
    </row>
    <row r="2" spans="1:11">
      <c r="A2" s="43" t="s">
        <v>130</v>
      </c>
      <c r="B2" s="52"/>
      <c r="C2" s="52"/>
      <c r="D2" s="52"/>
      <c r="E2" s="52"/>
      <c r="F2" s="52"/>
    </row>
    <row r="3" spans="1:11">
      <c r="A3" s="89" t="str">
        <f>'P&amp;L'!$A$3</f>
        <v>FOR THE QUARTER ENDED SEPTEMBER 30, 2015 (Unaudited)</v>
      </c>
      <c r="B3" s="52"/>
      <c r="C3" s="52"/>
      <c r="D3" s="52"/>
      <c r="E3" s="52"/>
      <c r="F3" s="52"/>
    </row>
    <row r="4" spans="1:11">
      <c r="A4" s="89" t="s">
        <v>195</v>
      </c>
      <c r="B4" s="52"/>
      <c r="C4" s="52"/>
      <c r="D4" s="52"/>
      <c r="E4" s="52"/>
      <c r="F4" s="52"/>
    </row>
    <row r="5" spans="1:11">
      <c r="A5" s="89"/>
      <c r="B5" s="52"/>
      <c r="C5" s="52"/>
      <c r="D5" s="52"/>
      <c r="E5" s="52"/>
      <c r="F5" s="52"/>
    </row>
    <row r="6" spans="1:11" ht="24">
      <c r="A6" s="133"/>
      <c r="B6" s="133"/>
      <c r="C6" s="133"/>
      <c r="D6" s="134"/>
      <c r="E6" s="243" t="s">
        <v>206</v>
      </c>
      <c r="F6" s="243" t="s">
        <v>208</v>
      </c>
      <c r="G6" s="243" t="s">
        <v>36</v>
      </c>
    </row>
    <row r="7" spans="1:11">
      <c r="A7" s="133"/>
      <c r="B7" s="133"/>
      <c r="C7" s="133"/>
      <c r="D7" s="134"/>
      <c r="E7" s="301" t="s">
        <v>171</v>
      </c>
      <c r="F7" s="302"/>
      <c r="G7" s="303"/>
      <c r="H7" s="300"/>
      <c r="I7" s="300"/>
      <c r="J7" s="300"/>
      <c r="K7" s="300"/>
    </row>
    <row r="8" spans="1:11">
      <c r="A8" s="146" t="s">
        <v>106</v>
      </c>
      <c r="B8" s="135"/>
      <c r="C8" s="135"/>
      <c r="D8" s="136"/>
      <c r="E8" s="142" t="e">
        <f>#REF!</f>
        <v>#REF!</v>
      </c>
      <c r="F8" s="142">
        <v>10236793</v>
      </c>
      <c r="G8" s="139">
        <f>F15</f>
        <v>4474785</v>
      </c>
    </row>
    <row r="9" spans="1:11" s="139" customFormat="1" ht="11.25">
      <c r="A9" s="146"/>
    </row>
    <row r="10" spans="1:11">
      <c r="A10" s="148" t="s">
        <v>210</v>
      </c>
      <c r="B10" s="135"/>
      <c r="C10" s="135"/>
      <c r="D10" s="134"/>
      <c r="E10" s="137"/>
      <c r="F10" s="137"/>
      <c r="G10" s="139"/>
    </row>
    <row r="11" spans="1:11">
      <c r="A11" s="150" t="s">
        <v>211</v>
      </c>
      <c r="B11" s="139"/>
      <c r="C11" s="139"/>
      <c r="D11" s="143"/>
      <c r="E11" s="142" t="e">
        <f>#REF!</f>
        <v>#REF!</v>
      </c>
      <c r="F11" s="147">
        <v>-4797718</v>
      </c>
      <c r="G11" s="139" t="e">
        <f>E11-F11</f>
        <v>#REF!</v>
      </c>
    </row>
    <row r="12" spans="1:11" s="139" customFormat="1" ht="11.25">
      <c r="A12" s="146"/>
    </row>
    <row r="13" spans="1:11">
      <c r="A13" s="146" t="s">
        <v>197</v>
      </c>
      <c r="B13" s="139"/>
      <c r="C13" s="139"/>
      <c r="D13" s="139"/>
      <c r="E13" s="139" t="e">
        <f>#REF!</f>
        <v>#REF!</v>
      </c>
      <c r="F13" s="139">
        <v>-964290</v>
      </c>
      <c r="G13" s="139" t="e">
        <f>#REF!</f>
        <v>#REF!</v>
      </c>
    </row>
    <row r="14" spans="1:11" s="139" customFormat="1" ht="11.25">
      <c r="A14" s="146"/>
    </row>
    <row r="15" spans="1:11" ht="16.5" thickBot="1">
      <c r="A15" s="146" t="s">
        <v>83</v>
      </c>
      <c r="B15" s="139"/>
      <c r="C15" s="139"/>
      <c r="D15" s="139"/>
      <c r="E15" s="152" t="e">
        <f>E8+E11+E13</f>
        <v>#REF!</v>
      </c>
      <c r="F15" s="152">
        <f>F8+F11+F13</f>
        <v>4474785</v>
      </c>
      <c r="G15" s="152" t="e">
        <f>G8+G11+G13</f>
        <v>#REF!</v>
      </c>
    </row>
    <row r="16" spans="1:11" ht="16.5" thickTop="1">
      <c r="A16" s="146"/>
      <c r="B16" s="139"/>
      <c r="C16" s="139"/>
      <c r="D16" s="139"/>
      <c r="E16" s="139"/>
      <c r="F16" s="142"/>
      <c r="G16" s="299"/>
    </row>
    <row r="17" spans="1:6">
      <c r="A17" s="149"/>
      <c r="B17" s="144"/>
      <c r="C17" s="144"/>
      <c r="D17" s="144"/>
      <c r="E17"/>
      <c r="F17" s="299"/>
    </row>
    <row r="18" spans="1:6">
      <c r="A18" s="146"/>
      <c r="B18" s="144"/>
      <c r="C18" s="144"/>
      <c r="D18" s="144"/>
      <c r="E18"/>
      <c r="F18" s="299"/>
    </row>
    <row r="19" spans="1:6">
      <c r="A19" s="23"/>
      <c r="E19"/>
      <c r="F19"/>
    </row>
    <row r="20" spans="1:6">
      <c r="A20" s="53"/>
      <c r="B20" s="39"/>
      <c r="C20" s="39"/>
      <c r="D20" s="39"/>
      <c r="E20"/>
      <c r="F20"/>
    </row>
    <row r="21" spans="1:6">
      <c r="A21" s="78"/>
      <c r="B21" s="64"/>
      <c r="C21" s="64"/>
      <c r="D21" s="64"/>
      <c r="E21" s="64"/>
      <c r="F21" s="64"/>
    </row>
    <row r="22" spans="1:6">
      <c r="A22" s="47"/>
      <c r="B22" s="47"/>
      <c r="C22" s="47"/>
      <c r="D22" s="47"/>
      <c r="E22" s="47"/>
      <c r="F22" s="47"/>
    </row>
    <row r="23" spans="1:6">
      <c r="A23" s="180"/>
      <c r="B23" s="180"/>
      <c r="C23" s="180"/>
      <c r="D23" s="180"/>
      <c r="E23" s="180"/>
      <c r="F23" s="180"/>
    </row>
    <row r="24" spans="1:6">
      <c r="A24" s="180"/>
      <c r="B24" s="180"/>
      <c r="C24" s="180"/>
      <c r="D24" s="180"/>
      <c r="E24" s="180"/>
      <c r="F24" s="180"/>
    </row>
    <row r="25" spans="1:6">
      <c r="A25" s="4"/>
      <c r="B25" s="180"/>
      <c r="C25" s="4"/>
      <c r="D25" s="4"/>
      <c r="E25" s="5"/>
      <c r="F25" s="4"/>
    </row>
    <row r="26" spans="1:6">
      <c r="A26" s="289"/>
      <c r="B26" s="26"/>
      <c r="C26" s="3"/>
      <c r="D26" s="3"/>
      <c r="E26" s="3"/>
      <c r="F26" s="3"/>
    </row>
    <row r="27" spans="1:6">
      <c r="A27" s="289"/>
      <c r="B27" s="26"/>
      <c r="C27" s="3"/>
      <c r="D27" s="3"/>
      <c r="E27" s="3"/>
      <c r="F27" s="3"/>
    </row>
    <row r="28" spans="1:6">
      <c r="A28" s="26"/>
      <c r="B28" s="26"/>
      <c r="C28" s="26"/>
      <c r="D28" s="3"/>
      <c r="E28" s="3"/>
      <c r="F28" s="3"/>
    </row>
    <row r="29" spans="1:6">
      <c r="A29" s="26"/>
      <c r="B29" s="26"/>
      <c r="C29" s="26"/>
      <c r="D29" s="3"/>
      <c r="E29" s="3"/>
      <c r="F29" s="3"/>
    </row>
    <row r="30" spans="1:6">
      <c r="A30" s="26"/>
      <c r="B30" s="26"/>
      <c r="C30" s="26"/>
      <c r="D30" s="26"/>
      <c r="E30" s="26"/>
      <c r="F30" s="26"/>
    </row>
    <row r="31" spans="1:6">
      <c r="A31" s="289"/>
      <c r="B31" s="26"/>
      <c r="C31" s="290"/>
      <c r="D31" s="290"/>
      <c r="E31" s="290"/>
      <c r="F31" s="290"/>
    </row>
    <row r="32" spans="1:6">
      <c r="A32" s="26"/>
      <c r="B32" s="290"/>
      <c r="C32" s="26"/>
      <c r="D32" s="26"/>
      <c r="E32" s="288"/>
      <c r="F32" s="26"/>
    </row>
    <row r="33" spans="1:6">
      <c r="A33" s="26"/>
      <c r="B33" s="26"/>
      <c r="C33" s="26"/>
      <c r="D33" s="26"/>
      <c r="E33" s="288"/>
      <c r="F33" s="26"/>
    </row>
    <row r="34" spans="1:6">
      <c r="A34" s="26"/>
      <c r="B34" s="26"/>
      <c r="C34" s="26"/>
      <c r="D34" s="26"/>
      <c r="E34" s="288"/>
      <c r="F34" s="26"/>
    </row>
    <row r="35" spans="1:6">
      <c r="A35" s="3"/>
      <c r="B35" s="26"/>
      <c r="C35" s="26"/>
      <c r="D35" s="26"/>
      <c r="E35" s="288"/>
      <c r="F35" s="26"/>
    </row>
    <row r="36" spans="1:6">
      <c r="A36" s="3"/>
      <c r="B36" s="26"/>
      <c r="C36" s="26"/>
      <c r="D36" s="26"/>
      <c r="E36" s="288"/>
      <c r="F36" s="26"/>
    </row>
    <row r="37" spans="1:6">
      <c r="A37" s="3"/>
      <c r="B37" s="26"/>
      <c r="C37" s="26"/>
      <c r="D37" s="26"/>
      <c r="E37" s="288"/>
      <c r="F37" s="26"/>
    </row>
    <row r="38" spans="1:6">
      <c r="A38" s="2"/>
      <c r="B38" s="51"/>
      <c r="C38" s="51"/>
      <c r="D38" s="51"/>
      <c r="E38" s="108"/>
      <c r="F38" s="51"/>
    </row>
    <row r="39" spans="1:6">
      <c r="A39" s="2"/>
      <c r="B39" s="51"/>
      <c r="C39" s="51"/>
      <c r="D39" s="51"/>
      <c r="E39" s="108"/>
      <c r="F39" s="51"/>
    </row>
    <row r="40" spans="1:6">
      <c r="A40" s="2"/>
      <c r="B40" s="51"/>
      <c r="C40" s="51"/>
      <c r="D40" s="51"/>
      <c r="E40" s="108"/>
      <c r="F40" s="51"/>
    </row>
    <row r="41" spans="1:6">
      <c r="A41" s="2"/>
      <c r="B41" s="51"/>
      <c r="C41" s="51"/>
      <c r="D41" s="51"/>
      <c r="E41" s="108"/>
      <c r="F41" s="51"/>
    </row>
    <row r="42" spans="1:6">
      <c r="A42" s="4"/>
      <c r="B42" s="51"/>
      <c r="C42" s="4"/>
      <c r="D42" s="5"/>
      <c r="E42" s="6"/>
      <c r="F42" s="13"/>
    </row>
    <row r="43" spans="1:6">
      <c r="A43" s="4"/>
      <c r="B43" s="4"/>
      <c r="C43" s="4"/>
      <c r="D43" s="5"/>
      <c r="E43" s="6"/>
      <c r="F43" s="13"/>
    </row>
    <row r="44" spans="1:6">
      <c r="A44" s="179"/>
      <c r="B44" s="4"/>
      <c r="C44" s="179"/>
      <c r="D44" s="179"/>
      <c r="E44" s="179"/>
      <c r="F44" s="179"/>
    </row>
    <row r="45" spans="1:6">
      <c r="B45" s="179"/>
    </row>
  </sheetData>
  <customSheetViews>
    <customSheetView guid="{84FBBE83-FF6F-4C76-A58E-D04643F715A5}">
      <selection activeCell="F12" sqref="F11:F12"/>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PLS</vt:lpstr>
      <vt:lpstr>P&amp;L (2)</vt:lpstr>
      <vt:lpstr>Title IPF </vt:lpstr>
      <vt:lpstr>BS</vt:lpstr>
      <vt:lpstr>P&amp;L</vt:lpstr>
      <vt:lpstr>Qtr - PnL</vt:lpstr>
      <vt:lpstr>Other Comp Income</vt:lpstr>
      <vt:lpstr>Qtr Other Comp Income</vt:lpstr>
      <vt:lpstr>Qtr Distribution</vt:lpstr>
      <vt:lpstr>UHF</vt:lpstr>
      <vt:lpstr>Qtr - UHF</vt:lpstr>
      <vt:lpstr>cash flow</vt:lpstr>
      <vt:lpstr>Qtr -cashflow</vt:lpstr>
      <vt:lpstr>RP Q working</vt:lpstr>
      <vt:lpstr>cash flow working</vt:lpstr>
      <vt:lpstr>1</vt:lpstr>
      <vt:lpstr>P</vt:lpstr>
      <vt:lpstr>2</vt:lpstr>
      <vt:lpstr>3</vt:lpstr>
      <vt:lpstr>'1'!Print_Area</vt:lpstr>
      <vt:lpstr>'2'!Print_Area</vt:lpstr>
      <vt:lpstr>'3'!Print_Area</vt:lpstr>
      <vt:lpstr>BS!Print_Area</vt:lpstr>
      <vt:lpstr>'cash flow'!Print_Area</vt:lpstr>
      <vt:lpstr>'cash flow working'!Print_Area</vt:lpstr>
      <vt:lpstr>'Other Comp Income'!Print_Area</vt:lpstr>
      <vt:lpstr>P!Print_Area</vt:lpstr>
      <vt:lpstr>'P&amp;L'!Print_Area</vt:lpstr>
      <vt:lpstr>'P&amp;L (2)'!Print_Area</vt:lpstr>
      <vt:lpstr>PLS!Print_Area</vt:lpstr>
      <vt:lpstr>'Qtr - PnL'!Print_Area</vt:lpstr>
      <vt:lpstr>'Qtr - UHF'!Print_Area</vt:lpstr>
      <vt:lpstr>'Qtr -cashflow'!Print_Area</vt:lpstr>
      <vt:lpstr>UHF!Print_Area</vt:lpstr>
      <vt:lpstr>'cash flow working'!Print_Titles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Ahsan Aman</dc:creator>
  <cp:lastModifiedBy>Syed Ahsan Aman</cp:lastModifiedBy>
  <cp:lastPrinted>2015-10-30T07:34:21Z</cp:lastPrinted>
  <dcterms:created xsi:type="dcterms:W3CDTF">2006-07-06T11:41:36Z</dcterms:created>
  <dcterms:modified xsi:type="dcterms:W3CDTF">2015-12-16T10:07:24Z</dcterms:modified>
</cp:coreProperties>
</file>